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200" windowHeight="10970" activeTab="1"/>
  </bookViews>
  <sheets>
    <sheet name="12_2018_В14а_В6 (2)" sheetId="2" r:id="rId1"/>
    <sheet name="2019_В14а_В6" sheetId="1" r:id="rId2"/>
  </sheets>
  <calcPr calcId="145621"/>
</workbook>
</file>

<file path=xl/calcChain.xml><?xml version="1.0" encoding="utf-8"?>
<calcChain xmlns="http://schemas.openxmlformats.org/spreadsheetml/2006/main">
  <c r="X455" i="1" l="1"/>
  <c r="W455" i="1"/>
  <c r="X426" i="1"/>
  <c r="W426" i="1"/>
  <c r="X388" i="1"/>
  <c r="W388" i="1"/>
  <c r="V390" i="1"/>
  <c r="X390" i="1"/>
  <c r="W390" i="1"/>
  <c r="V299" i="1"/>
  <c r="X299" i="1"/>
  <c r="W299" i="1"/>
  <c r="X297" i="1"/>
  <c r="W297" i="1"/>
  <c r="V417" i="1" l="1"/>
  <c r="V348" i="1"/>
  <c r="V314" i="1"/>
  <c r="V113" i="1" l="1"/>
  <c r="I246" i="1" l="1"/>
  <c r="V227" i="1" l="1"/>
  <c r="V235" i="1"/>
  <c r="X221" i="1"/>
  <c r="X164" i="1"/>
  <c r="W164" i="1"/>
  <c r="X188" i="1" l="1"/>
  <c r="X185" i="1" s="1"/>
  <c r="W188" i="1"/>
  <c r="W185" i="1" s="1"/>
  <c r="X469" i="1" l="1"/>
  <c r="W469" i="1"/>
  <c r="Y468" i="1"/>
  <c r="Y466" i="1"/>
  <c r="Y465" i="1"/>
  <c r="P457" i="1"/>
  <c r="O457" i="1"/>
  <c r="W456" i="1"/>
  <c r="P455" i="1"/>
  <c r="P456" i="1" s="1"/>
  <c r="O455" i="1"/>
  <c r="O456" i="1" s="1"/>
  <c r="M455" i="1"/>
  <c r="M456" i="1" s="1"/>
  <c r="L455" i="1"/>
  <c r="L456" i="1" s="1"/>
  <c r="V450" i="1"/>
  <c r="N450" i="1"/>
  <c r="K450" i="1"/>
  <c r="K455" i="1" s="1"/>
  <c r="K456" i="1" s="1"/>
  <c r="V447" i="1"/>
  <c r="N447" i="1"/>
  <c r="X456" i="1" l="1"/>
  <c r="N457" i="1"/>
  <c r="Y469" i="1"/>
  <c r="V455" i="1"/>
  <c r="V456" i="1" s="1"/>
  <c r="N455" i="1"/>
  <c r="N456" i="1" s="1"/>
  <c r="V301" i="1" l="1"/>
  <c r="V300" i="1"/>
  <c r="V377" i="1" l="1"/>
  <c r="V190" i="1" l="1"/>
  <c r="V189" i="1"/>
  <c r="V188" i="1"/>
  <c r="X363" i="2" l="1"/>
  <c r="W363" i="2"/>
  <c r="T361" i="2"/>
  <c r="S361" i="2"/>
  <c r="Q361" i="2"/>
  <c r="P361" i="2"/>
  <c r="T360" i="2"/>
  <c r="S360" i="2"/>
  <c r="Q360" i="2"/>
  <c r="Q357" i="2" s="1"/>
  <c r="P360" i="2"/>
  <c r="L360" i="2"/>
  <c r="T358" i="2"/>
  <c r="S358" i="2"/>
  <c r="O358" i="2"/>
  <c r="R358" i="2" s="1"/>
  <c r="L358" i="2"/>
  <c r="T357" i="2"/>
  <c r="S357" i="2"/>
  <c r="P357" i="2"/>
  <c r="L357" i="2"/>
  <c r="V356" i="2"/>
  <c r="Y348" i="2"/>
  <c r="Y349" i="2" s="1"/>
  <c r="X344" i="2"/>
  <c r="W344" i="2"/>
  <c r="V344" i="2" s="1"/>
  <c r="V341" i="2"/>
  <c r="X340" i="2"/>
  <c r="W340" i="2"/>
  <c r="V340" i="2" s="1"/>
  <c r="R335" i="2"/>
  <c r="O335" i="2"/>
  <c r="L335" i="2"/>
  <c r="V332" i="2"/>
  <c r="V329" i="2"/>
  <c r="X327" i="2"/>
  <c r="W327" i="2"/>
  <c r="R327" i="2"/>
  <c r="Q327" i="2"/>
  <c r="P327" i="2"/>
  <c r="O327" i="2" s="1"/>
  <c r="R324" i="2"/>
  <c r="O324" i="2"/>
  <c r="L324" i="2"/>
  <c r="X322" i="2"/>
  <c r="W322" i="2"/>
  <c r="V322" i="2" s="1"/>
  <c r="R319" i="2"/>
  <c r="O319" i="2"/>
  <c r="L319" i="2"/>
  <c r="V317" i="2"/>
  <c r="X316" i="2"/>
  <c r="W316" i="2"/>
  <c r="V312" i="2"/>
  <c r="T310" i="2"/>
  <c r="R310" i="2" s="1"/>
  <c r="Q310" i="2"/>
  <c r="O310" i="2" s="1"/>
  <c r="N310" i="2"/>
  <c r="N348" i="2" s="1"/>
  <c r="N349" i="2" s="1"/>
  <c r="M310" i="2"/>
  <c r="L310" i="2" s="1"/>
  <c r="R309" i="2"/>
  <c r="Q309" i="2"/>
  <c r="O309" i="2" s="1"/>
  <c r="X308" i="2"/>
  <c r="W308" i="2"/>
  <c r="X306" i="2"/>
  <c r="V306" i="2" s="1"/>
  <c r="R305" i="2"/>
  <c r="O305" i="2"/>
  <c r="V304" i="2"/>
  <c r="R304" i="2"/>
  <c r="O304" i="2"/>
  <c r="V303" i="2"/>
  <c r="X302" i="2"/>
  <c r="W302" i="2"/>
  <c r="T302" i="2"/>
  <c r="S302" i="2"/>
  <c r="Q302" i="2"/>
  <c r="P302" i="2"/>
  <c r="R299" i="2"/>
  <c r="O299" i="2"/>
  <c r="M299" i="2"/>
  <c r="L299" i="2" s="1"/>
  <c r="X298" i="2"/>
  <c r="W298" i="2"/>
  <c r="R298" i="2"/>
  <c r="O298" i="2"/>
  <c r="R296" i="2"/>
  <c r="Q296" i="2"/>
  <c r="P296" i="2"/>
  <c r="T295" i="2"/>
  <c r="S295" i="2"/>
  <c r="Q295" i="2"/>
  <c r="P295" i="2"/>
  <c r="L295" i="2"/>
  <c r="R294" i="2"/>
  <c r="Q294" i="2"/>
  <c r="P294" i="2"/>
  <c r="R293" i="2"/>
  <c r="Q293" i="2"/>
  <c r="O293" i="2" s="1"/>
  <c r="L293" i="2"/>
  <c r="X292" i="2"/>
  <c r="W292" i="2"/>
  <c r="W348" i="2" s="1"/>
  <c r="W349" i="2" s="1"/>
  <c r="W350" i="2" s="1"/>
  <c r="T292" i="2"/>
  <c r="S292" i="2"/>
  <c r="O292" i="2"/>
  <c r="L292" i="2"/>
  <c r="V288" i="2"/>
  <c r="R288" i="2"/>
  <c r="Q288" i="2"/>
  <c r="P288" i="2"/>
  <c r="O288" i="2" s="1"/>
  <c r="J284" i="2"/>
  <c r="J280" i="2"/>
  <c r="S266" i="2"/>
  <c r="W265" i="2"/>
  <c r="U265" i="2"/>
  <c r="T265" i="2" s="1"/>
  <c r="Q265" i="2"/>
  <c r="N265" i="2"/>
  <c r="M265" i="2"/>
  <c r="M267" i="2" s="1"/>
  <c r="V264" i="2"/>
  <c r="T264" i="2"/>
  <c r="O264" i="2"/>
  <c r="R264" i="2" s="1"/>
  <c r="L264" i="2"/>
  <c r="V263" i="2"/>
  <c r="T263" i="2"/>
  <c r="O263" i="2"/>
  <c r="R263" i="2" s="1"/>
  <c r="L263" i="2"/>
  <c r="V262" i="2"/>
  <c r="T262" i="2"/>
  <c r="S262" i="2" s="1"/>
  <c r="O262" i="2"/>
  <c r="R262" i="2" s="1"/>
  <c r="L262" i="2"/>
  <c r="V261" i="2"/>
  <c r="V260" i="2"/>
  <c r="T260" i="2"/>
  <c r="S260" i="2" s="1"/>
  <c r="O260" i="2"/>
  <c r="R260" i="2" s="1"/>
  <c r="L260" i="2"/>
  <c r="V259" i="2"/>
  <c r="T259" i="2"/>
  <c r="S259" i="2" s="1"/>
  <c r="O259" i="2"/>
  <c r="R259" i="2" s="1"/>
  <c r="L259" i="2"/>
  <c r="T258" i="2"/>
  <c r="O258" i="2"/>
  <c r="R258" i="2" s="1"/>
  <c r="L258" i="2"/>
  <c r="T257" i="2"/>
  <c r="P257" i="2"/>
  <c r="O257" i="2" s="1"/>
  <c r="R257" i="2" s="1"/>
  <c r="L257" i="2"/>
  <c r="V256" i="2"/>
  <c r="T256" i="2"/>
  <c r="S256" i="2" s="1"/>
  <c r="R256" i="2" s="1"/>
  <c r="O256" i="2"/>
  <c r="X255" i="2"/>
  <c r="T255" i="2"/>
  <c r="O255" i="2"/>
  <c r="R255" i="2" s="1"/>
  <c r="L255" i="2"/>
  <c r="X252" i="2"/>
  <c r="W252" i="2"/>
  <c r="V252" i="2" s="1"/>
  <c r="U252" i="2"/>
  <c r="T252" i="2" s="1"/>
  <c r="T266" i="2" s="1"/>
  <c r="Q252" i="2"/>
  <c r="Q266" i="2" s="1"/>
  <c r="P252" i="2"/>
  <c r="I241" i="2"/>
  <c r="V233" i="2"/>
  <c r="V232" i="2"/>
  <c r="T232" i="2"/>
  <c r="S232" i="2"/>
  <c r="O232" i="2"/>
  <c r="R232" i="2" s="1"/>
  <c r="L232" i="2"/>
  <c r="T231" i="2"/>
  <c r="S231" i="2"/>
  <c r="O231" i="2"/>
  <c r="T230" i="2"/>
  <c r="S230" i="2"/>
  <c r="O230" i="2"/>
  <c r="R230" i="2" s="1"/>
  <c r="L230" i="2"/>
  <c r="W229" i="2"/>
  <c r="T229" i="2"/>
  <c r="R229" i="2"/>
  <c r="Q229" i="2"/>
  <c r="O229" i="2" s="1"/>
  <c r="N229" i="2"/>
  <c r="L229" i="2" s="1"/>
  <c r="W228" i="2"/>
  <c r="T228" i="2"/>
  <c r="S228" i="2"/>
  <c r="O228" i="2"/>
  <c r="W227" i="2"/>
  <c r="T227" i="2"/>
  <c r="S227" i="2"/>
  <c r="L227" i="2"/>
  <c r="V226" i="2"/>
  <c r="T226" i="2"/>
  <c r="S226" i="2"/>
  <c r="O226" i="2"/>
  <c r="L226" i="2"/>
  <c r="V225" i="2"/>
  <c r="T225" i="2"/>
  <c r="S225" i="2"/>
  <c r="P225" i="2"/>
  <c r="L225" i="2"/>
  <c r="X224" i="2"/>
  <c r="W224" i="2"/>
  <c r="U224" i="2"/>
  <c r="T224" i="2" s="1"/>
  <c r="R224" i="2"/>
  <c r="M224" i="2"/>
  <c r="L224" i="2" s="1"/>
  <c r="V222" i="2"/>
  <c r="V221" i="2"/>
  <c r="W220" i="2"/>
  <c r="T220" i="2"/>
  <c r="S220" i="2"/>
  <c r="O220" i="2"/>
  <c r="R220" i="2" s="1"/>
  <c r="V219" i="2"/>
  <c r="T219" i="2"/>
  <c r="S219" i="2"/>
  <c r="O219" i="2"/>
  <c r="R219" i="2" s="1"/>
  <c r="L219" i="2"/>
  <c r="V218" i="2"/>
  <c r="T218" i="2"/>
  <c r="S218" i="2"/>
  <c r="O218" i="2"/>
  <c r="R218" i="2" s="1"/>
  <c r="L218" i="2"/>
  <c r="X217" i="2"/>
  <c r="U217" i="2"/>
  <c r="T217" i="2"/>
  <c r="Q217" i="2"/>
  <c r="P217" i="2"/>
  <c r="O217" i="2" s="1"/>
  <c r="N217" i="2"/>
  <c r="M217" i="2"/>
  <c r="L217" i="2" s="1"/>
  <c r="X216" i="2"/>
  <c r="X214" i="2" s="1"/>
  <c r="W216" i="2"/>
  <c r="W214" i="2" s="1"/>
  <c r="T216" i="2"/>
  <c r="S216" i="2"/>
  <c r="O216" i="2"/>
  <c r="R216" i="2" s="1"/>
  <c r="R214" i="2" s="1"/>
  <c r="L216" i="2"/>
  <c r="W215" i="2"/>
  <c r="T215" i="2"/>
  <c r="S215" i="2"/>
  <c r="R215" i="2"/>
  <c r="O215" i="2"/>
  <c r="L215" i="2"/>
  <c r="U214" i="2"/>
  <c r="T214" i="2" s="1"/>
  <c r="Q214" i="2"/>
  <c r="P214" i="2"/>
  <c r="N214" i="2"/>
  <c r="M214" i="2"/>
  <c r="W203" i="2"/>
  <c r="T203" i="2"/>
  <c r="S203" i="2"/>
  <c r="R203" i="2"/>
  <c r="O203" i="2"/>
  <c r="L203" i="2"/>
  <c r="W202" i="2"/>
  <c r="T202" i="2"/>
  <c r="S202" i="2"/>
  <c r="R202" i="2"/>
  <c r="O202" i="2"/>
  <c r="L202" i="2"/>
  <c r="V201" i="2"/>
  <c r="V199" i="2" s="1"/>
  <c r="T201" i="2"/>
  <c r="S201" i="2"/>
  <c r="O201" i="2"/>
  <c r="R201" i="2" s="1"/>
  <c r="L201" i="2"/>
  <c r="W200" i="2"/>
  <c r="T200" i="2"/>
  <c r="S200" i="2"/>
  <c r="R200" i="2"/>
  <c r="O200" i="2"/>
  <c r="L200" i="2"/>
  <c r="X199" i="2"/>
  <c r="W199" i="2" s="1"/>
  <c r="U199" i="2"/>
  <c r="T199" i="2" s="1"/>
  <c r="R199" i="2"/>
  <c r="Q199" i="2"/>
  <c r="P199" i="2"/>
  <c r="O199" i="2"/>
  <c r="N199" i="2"/>
  <c r="M199" i="2"/>
  <c r="L199" i="2" s="1"/>
  <c r="V197" i="2"/>
  <c r="T197" i="2"/>
  <c r="S197" i="2"/>
  <c r="Q197" i="2"/>
  <c r="P197" i="2"/>
  <c r="O197" i="2"/>
  <c r="R197" i="2" s="1"/>
  <c r="L197" i="2"/>
  <c r="V196" i="2"/>
  <c r="T196" i="2"/>
  <c r="S196" i="2"/>
  <c r="O196" i="2"/>
  <c r="R196" i="2" s="1"/>
  <c r="L196" i="2"/>
  <c r="V195" i="2"/>
  <c r="T195" i="2"/>
  <c r="S195" i="2"/>
  <c r="P195" i="2"/>
  <c r="O195" i="2" s="1"/>
  <c r="R195" i="2" s="1"/>
  <c r="L195" i="2"/>
  <c r="V194" i="2"/>
  <c r="T194" i="2"/>
  <c r="S194" i="2"/>
  <c r="Q194" i="2"/>
  <c r="P194" i="2"/>
  <c r="O194" i="2" s="1"/>
  <c r="R194" i="2" s="1"/>
  <c r="L194" i="2"/>
  <c r="V193" i="2"/>
  <c r="V192" i="2"/>
  <c r="T192" i="2"/>
  <c r="S192" i="2"/>
  <c r="Q192" i="2"/>
  <c r="Q188" i="2" s="1"/>
  <c r="P192" i="2"/>
  <c r="O192" i="2"/>
  <c r="R192" i="2" s="1"/>
  <c r="L192" i="2"/>
  <c r="V191" i="2"/>
  <c r="T191" i="2"/>
  <c r="S191" i="2"/>
  <c r="Q191" i="2"/>
  <c r="P191" i="2"/>
  <c r="O191" i="2" s="1"/>
  <c r="R191" i="2" s="1"/>
  <c r="L191" i="2"/>
  <c r="W190" i="2"/>
  <c r="V190" i="2" s="1"/>
  <c r="T190" i="2"/>
  <c r="S190" i="2"/>
  <c r="Q190" i="2"/>
  <c r="P190" i="2"/>
  <c r="L190" i="2"/>
  <c r="X188" i="2"/>
  <c r="U188" i="2"/>
  <c r="T188" i="2" s="1"/>
  <c r="N188" i="2"/>
  <c r="M188" i="2"/>
  <c r="W187" i="2"/>
  <c r="V187" i="2" s="1"/>
  <c r="T187" i="2"/>
  <c r="S187" i="2"/>
  <c r="Q187" i="2"/>
  <c r="P187" i="2"/>
  <c r="O187" i="2" s="1"/>
  <c r="R187" i="2" s="1"/>
  <c r="L187" i="2"/>
  <c r="V186" i="2"/>
  <c r="T186" i="2"/>
  <c r="S186" i="2"/>
  <c r="Q186" i="2"/>
  <c r="P186" i="2"/>
  <c r="O186" i="2" s="1"/>
  <c r="R186" i="2" s="1"/>
  <c r="L186" i="2"/>
  <c r="V185" i="2"/>
  <c r="T185" i="2"/>
  <c r="S185" i="2"/>
  <c r="Q185" i="2"/>
  <c r="P185" i="2"/>
  <c r="L185" i="2"/>
  <c r="X184" i="2"/>
  <c r="U184" i="2"/>
  <c r="T184" i="2" s="1"/>
  <c r="Q184" i="2"/>
  <c r="N184" i="2"/>
  <c r="M184" i="2"/>
  <c r="V182" i="2"/>
  <c r="T182" i="2"/>
  <c r="S182" i="2"/>
  <c r="O182" i="2"/>
  <c r="R182" i="2" s="1"/>
  <c r="L182" i="2"/>
  <c r="X181" i="2"/>
  <c r="X176" i="2" s="1"/>
  <c r="W181" i="2"/>
  <c r="W180" i="2"/>
  <c r="T180" i="2"/>
  <c r="S180" i="2"/>
  <c r="O180" i="2"/>
  <c r="R180" i="2" s="1"/>
  <c r="L180" i="2"/>
  <c r="V179" i="2"/>
  <c r="T179" i="2"/>
  <c r="S179" i="2"/>
  <c r="O179" i="2"/>
  <c r="R179" i="2" s="1"/>
  <c r="L179" i="2"/>
  <c r="V178" i="2"/>
  <c r="T178" i="2"/>
  <c r="S178" i="2"/>
  <c r="O178" i="2"/>
  <c r="R178" i="2" s="1"/>
  <c r="L178" i="2"/>
  <c r="V177" i="2"/>
  <c r="T177" i="2"/>
  <c r="S177" i="2"/>
  <c r="O177" i="2"/>
  <c r="R177" i="2" s="1"/>
  <c r="L177" i="2"/>
  <c r="W176" i="2"/>
  <c r="U176" i="2"/>
  <c r="Q176" i="2"/>
  <c r="P176" i="2"/>
  <c r="N176" i="2"/>
  <c r="M176" i="2"/>
  <c r="N174" i="2"/>
  <c r="V170" i="2"/>
  <c r="T170" i="2"/>
  <c r="S170" i="2"/>
  <c r="Q170" i="2"/>
  <c r="P170" i="2"/>
  <c r="V169" i="2"/>
  <c r="V168" i="2"/>
  <c r="V167" i="2"/>
  <c r="V166" i="2"/>
  <c r="T166" i="2"/>
  <c r="S166" i="2"/>
  <c r="Q166" i="2"/>
  <c r="P166" i="2"/>
  <c r="L166" i="2"/>
  <c r="Z165" i="2"/>
  <c r="V165" i="2"/>
  <c r="V164" i="2"/>
  <c r="T164" i="2"/>
  <c r="S164" i="2"/>
  <c r="R164" i="2"/>
  <c r="O164" i="2"/>
  <c r="L164" i="2"/>
  <c r="X163" i="2"/>
  <c r="T163" i="2"/>
  <c r="S163" i="2"/>
  <c r="Q163" i="2"/>
  <c r="L163" i="2"/>
  <c r="V162" i="2"/>
  <c r="V161" i="2"/>
  <c r="V160" i="2"/>
  <c r="V159" i="2"/>
  <c r="W157" i="2"/>
  <c r="V157" i="2" s="1"/>
  <c r="T157" i="2"/>
  <c r="S157" i="2"/>
  <c r="Q157" i="2"/>
  <c r="P157" i="2"/>
  <c r="O157" i="2" s="1"/>
  <c r="R157" i="2" s="1"/>
  <c r="L157" i="2"/>
  <c r="W155" i="2"/>
  <c r="V155" i="2" s="1"/>
  <c r="T155" i="2"/>
  <c r="S155" i="2"/>
  <c r="Q155" i="2"/>
  <c r="P155" i="2"/>
  <c r="O155" i="2" s="1"/>
  <c r="R155" i="2" s="1"/>
  <c r="L155" i="2"/>
  <c r="W154" i="2"/>
  <c r="V154" i="2" s="1"/>
  <c r="T154" i="2"/>
  <c r="S154" i="2"/>
  <c r="Q154" i="2"/>
  <c r="P154" i="2"/>
  <c r="L154" i="2"/>
  <c r="V152" i="2"/>
  <c r="L152" i="2"/>
  <c r="W151" i="2"/>
  <c r="V151" i="2" s="1"/>
  <c r="T151" i="2"/>
  <c r="O151" i="2"/>
  <c r="V149" i="2"/>
  <c r="X148" i="2"/>
  <c r="U148" i="2"/>
  <c r="T148" i="2" s="1"/>
  <c r="Q148" i="2"/>
  <c r="Q147" i="2" s="1"/>
  <c r="P148" i="2"/>
  <c r="L148" i="2"/>
  <c r="N147" i="2"/>
  <c r="M147" i="2"/>
  <c r="V142" i="2"/>
  <c r="T142" i="2"/>
  <c r="S142" i="2"/>
  <c r="Q142" i="2"/>
  <c r="P142" i="2"/>
  <c r="L142" i="2"/>
  <c r="V141" i="2"/>
  <c r="T141" i="2"/>
  <c r="S141" i="2"/>
  <c r="O141" i="2"/>
  <c r="L141" i="2"/>
  <c r="V139" i="2"/>
  <c r="T139" i="2"/>
  <c r="S139" i="2"/>
  <c r="Q139" i="2"/>
  <c r="P139" i="2"/>
  <c r="O139" i="2" s="1"/>
  <c r="L139" i="2"/>
  <c r="W138" i="2"/>
  <c r="V138" i="2" s="1"/>
  <c r="U138" i="2"/>
  <c r="T138" i="2" s="1"/>
  <c r="Q138" i="2"/>
  <c r="P138" i="2"/>
  <c r="L138" i="2"/>
  <c r="T137" i="2"/>
  <c r="S137" i="2"/>
  <c r="O137" i="2"/>
  <c r="R137" i="2" s="1"/>
  <c r="L137" i="2"/>
  <c r="V136" i="2"/>
  <c r="V135" i="2"/>
  <c r="T135" i="2"/>
  <c r="S135" i="2"/>
  <c r="O135" i="2"/>
  <c r="R135" i="2" s="1"/>
  <c r="L135" i="2"/>
  <c r="V134" i="2"/>
  <c r="T134" i="2"/>
  <c r="S134" i="2"/>
  <c r="Q134" i="2"/>
  <c r="P134" i="2"/>
  <c r="L134" i="2"/>
  <c r="X133" i="2"/>
  <c r="Q133" i="2"/>
  <c r="N133" i="2"/>
  <c r="M133" i="2"/>
  <c r="V132" i="2"/>
  <c r="T132" i="2"/>
  <c r="S132" i="2"/>
  <c r="O132" i="2"/>
  <c r="R132" i="2" s="1"/>
  <c r="L132" i="2"/>
  <c r="V131" i="2"/>
  <c r="T131" i="2"/>
  <c r="Q131" i="2"/>
  <c r="P131" i="2"/>
  <c r="L131" i="2"/>
  <c r="V130" i="2"/>
  <c r="T130" i="2"/>
  <c r="S130" i="2"/>
  <c r="Q130" i="2"/>
  <c r="Q122" i="2" s="1"/>
  <c r="P130" i="2"/>
  <c r="T129" i="2"/>
  <c r="S129" i="2"/>
  <c r="O129" i="2"/>
  <c r="R129" i="2" s="1"/>
  <c r="L129" i="2"/>
  <c r="T128" i="2"/>
  <c r="S128" i="2"/>
  <c r="O128" i="2"/>
  <c r="R128" i="2" s="1"/>
  <c r="L128" i="2"/>
  <c r="S127" i="2"/>
  <c r="O127" i="2"/>
  <c r="R127" i="2" s="1"/>
  <c r="L127" i="2"/>
  <c r="T126" i="2"/>
  <c r="S126" i="2"/>
  <c r="O126" i="2"/>
  <c r="R126" i="2" s="1"/>
  <c r="L126" i="2"/>
  <c r="V125" i="2"/>
  <c r="T125" i="2"/>
  <c r="S125" i="2"/>
  <c r="O125" i="2"/>
  <c r="R125" i="2" s="1"/>
  <c r="L125" i="2"/>
  <c r="V124" i="2"/>
  <c r="T124" i="2"/>
  <c r="S124" i="2"/>
  <c r="O124" i="2"/>
  <c r="R124" i="2" s="1"/>
  <c r="L124" i="2"/>
  <c r="V123" i="2"/>
  <c r="U123" i="2"/>
  <c r="Q123" i="2"/>
  <c r="P123" i="2"/>
  <c r="X122" i="2"/>
  <c r="W122" i="2"/>
  <c r="N122" i="2"/>
  <c r="M122" i="2"/>
  <c r="V120" i="2"/>
  <c r="T120" i="2"/>
  <c r="S120" i="2"/>
  <c r="O120" i="2"/>
  <c r="R120" i="2" s="1"/>
  <c r="L120" i="2"/>
  <c r="V119" i="2"/>
  <c r="T119" i="2"/>
  <c r="S119" i="2"/>
  <c r="Q119" i="2"/>
  <c r="O119" i="2" s="1"/>
  <c r="R119" i="2" s="1"/>
  <c r="L119" i="2"/>
  <c r="V118" i="2"/>
  <c r="T118" i="2"/>
  <c r="S118" i="2"/>
  <c r="O118" i="2"/>
  <c r="R118" i="2" s="1"/>
  <c r="L118" i="2"/>
  <c r="V117" i="2"/>
  <c r="V116" i="2"/>
  <c r="U116" i="2"/>
  <c r="Q116" i="2"/>
  <c r="P116" i="2"/>
  <c r="L116" i="2"/>
  <c r="X115" i="2"/>
  <c r="W115" i="2"/>
  <c r="P115" i="2"/>
  <c r="N115" i="2"/>
  <c r="M115" i="2"/>
  <c r="V114" i="2"/>
  <c r="T114" i="2"/>
  <c r="S114" i="2"/>
  <c r="Q114" i="2"/>
  <c r="P114" i="2"/>
  <c r="V113" i="2"/>
  <c r="V112" i="2"/>
  <c r="V111" i="2"/>
  <c r="X110" i="2"/>
  <c r="W110" i="2"/>
  <c r="T110" i="2"/>
  <c r="S110" i="2"/>
  <c r="O110" i="2"/>
  <c r="R110" i="2" s="1"/>
  <c r="L110" i="2"/>
  <c r="V106" i="2"/>
  <c r="U106" i="2"/>
  <c r="Q106" i="2"/>
  <c r="Q104" i="2" s="1"/>
  <c r="P106" i="2"/>
  <c r="L106" i="2"/>
  <c r="X104" i="2"/>
  <c r="W104" i="2"/>
  <c r="V104" i="2" s="1"/>
  <c r="P104" i="2"/>
  <c r="N104" i="2"/>
  <c r="M104" i="2"/>
  <c r="V102" i="2"/>
  <c r="T102" i="2"/>
  <c r="S102" i="2"/>
  <c r="O102" i="2"/>
  <c r="R102" i="2" s="1"/>
  <c r="L102" i="2"/>
  <c r="X101" i="2"/>
  <c r="W101" i="2"/>
  <c r="U101" i="2"/>
  <c r="S101" i="2" s="1"/>
  <c r="Q101" i="2"/>
  <c r="Q98" i="2" s="1"/>
  <c r="P101" i="2"/>
  <c r="L101" i="2"/>
  <c r="V100" i="2"/>
  <c r="T100" i="2"/>
  <c r="S100" i="2"/>
  <c r="O100" i="2"/>
  <c r="R100" i="2" s="1"/>
  <c r="L100" i="2"/>
  <c r="X98" i="2"/>
  <c r="N98" i="2"/>
  <c r="M98" i="2"/>
  <c r="L98" i="2" s="1"/>
  <c r="V97" i="2"/>
  <c r="U97" i="2"/>
  <c r="T97" i="2" s="1"/>
  <c r="Q97" i="2"/>
  <c r="P97" i="2"/>
  <c r="L97" i="2"/>
  <c r="V96" i="2"/>
  <c r="T96" i="2"/>
  <c r="S96" i="2"/>
  <c r="O96" i="2"/>
  <c r="R96" i="2" s="1"/>
  <c r="L96" i="2"/>
  <c r="T95" i="2"/>
  <c r="S95" i="2"/>
  <c r="Q95" i="2"/>
  <c r="O95" i="2" s="1"/>
  <c r="R95" i="2" s="1"/>
  <c r="L95" i="2"/>
  <c r="V94" i="2"/>
  <c r="T94" i="2"/>
  <c r="S94" i="2"/>
  <c r="Q94" i="2"/>
  <c r="O94" i="2" s="1"/>
  <c r="R94" i="2" s="1"/>
  <c r="L94" i="2"/>
  <c r="V93" i="2"/>
  <c r="T93" i="2"/>
  <c r="S93" i="2"/>
  <c r="Q93" i="2"/>
  <c r="Q88" i="2" s="1"/>
  <c r="P93" i="2"/>
  <c r="L93" i="2"/>
  <c r="V92" i="2"/>
  <c r="T92" i="2"/>
  <c r="S92" i="2"/>
  <c r="O92" i="2"/>
  <c r="R92" i="2" s="1"/>
  <c r="L92" i="2"/>
  <c r="V91" i="2"/>
  <c r="T91" i="2"/>
  <c r="S91" i="2"/>
  <c r="O91" i="2"/>
  <c r="R91" i="2" s="1"/>
  <c r="L91" i="2"/>
  <c r="V90" i="2"/>
  <c r="T90" i="2"/>
  <c r="S90" i="2"/>
  <c r="O90" i="2"/>
  <c r="R90" i="2" s="1"/>
  <c r="L90" i="2"/>
  <c r="X88" i="2"/>
  <c r="W88" i="2"/>
  <c r="W87" i="2" s="1"/>
  <c r="U88" i="2"/>
  <c r="T88" i="2" s="1"/>
  <c r="L88" i="2"/>
  <c r="Y87" i="2"/>
  <c r="Y234" i="2" s="1"/>
  <c r="Y235" i="2" s="1"/>
  <c r="X87" i="2"/>
  <c r="U87" i="2"/>
  <c r="N87" i="2"/>
  <c r="M87" i="2"/>
  <c r="V83" i="2"/>
  <c r="T83" i="2"/>
  <c r="O83" i="2"/>
  <c r="Q87" i="2" l="1"/>
  <c r="O106" i="2"/>
  <c r="R106" i="2" s="1"/>
  <c r="L115" i="2"/>
  <c r="X103" i="2"/>
  <c r="O116" i="2"/>
  <c r="R116" i="2" s="1"/>
  <c r="O142" i="2"/>
  <c r="R142" i="2" s="1"/>
  <c r="O214" i="2"/>
  <c r="O357" i="2"/>
  <c r="O97" i="2"/>
  <c r="R97" i="2" s="1"/>
  <c r="O101" i="2"/>
  <c r="R101" i="2" s="1"/>
  <c r="N103" i="2"/>
  <c r="V115" i="2"/>
  <c r="P122" i="2"/>
  <c r="O122" i="2" s="1"/>
  <c r="V122" i="2"/>
  <c r="V181" i="2"/>
  <c r="L214" i="2"/>
  <c r="T348" i="2"/>
  <c r="T349" i="2" s="1"/>
  <c r="O295" i="2"/>
  <c r="O296" i="2"/>
  <c r="R302" i="2"/>
  <c r="V302" i="2"/>
  <c r="V316" i="2"/>
  <c r="V327" i="2"/>
  <c r="R176" i="2"/>
  <c r="V88" i="2"/>
  <c r="Q115" i="2"/>
  <c r="O115" i="2" s="1"/>
  <c r="L122" i="2"/>
  <c r="O130" i="2"/>
  <c r="R130" i="2" s="1"/>
  <c r="O131" i="2"/>
  <c r="R131" i="2" s="1"/>
  <c r="W133" i="2"/>
  <c r="O138" i="2"/>
  <c r="U147" i="2"/>
  <c r="T147" i="2" s="1"/>
  <c r="S148" i="2"/>
  <c r="V148" i="2"/>
  <c r="O154" i="2"/>
  <c r="R154" i="2" s="1"/>
  <c r="O176" i="2"/>
  <c r="X174" i="2"/>
  <c r="W184" i="2"/>
  <c r="L188" i="2"/>
  <c r="W188" i="2"/>
  <c r="R217" i="2"/>
  <c r="O252" i="2"/>
  <c r="R265" i="2"/>
  <c r="V298" i="2"/>
  <c r="O360" i="2"/>
  <c r="R360" i="2" s="1"/>
  <c r="Q103" i="2"/>
  <c r="Q234" i="2" s="1"/>
  <c r="Q235" i="2" s="1"/>
  <c r="Q174" i="2"/>
  <c r="R98" i="2"/>
  <c r="R115" i="2"/>
  <c r="V163" i="2"/>
  <c r="L184" i="2"/>
  <c r="L265" i="2"/>
  <c r="L266" i="2" s="1"/>
  <c r="Q348" i="2"/>
  <c r="Q349" i="2" s="1"/>
  <c r="X348" i="2"/>
  <c r="X349" i="2" s="1"/>
  <c r="X350" i="2" s="1"/>
  <c r="V350" i="2" s="1"/>
  <c r="O361" i="2"/>
  <c r="R361" i="2" s="1"/>
  <c r="R357" i="2" s="1"/>
  <c r="V363" i="2"/>
  <c r="S97" i="2"/>
  <c r="P98" i="2"/>
  <c r="O98" i="2" s="1"/>
  <c r="O114" i="2"/>
  <c r="R114" i="2" s="1"/>
  <c r="O123" i="2"/>
  <c r="R123" i="2" s="1"/>
  <c r="L147" i="2"/>
  <c r="O170" i="2"/>
  <c r="R170" i="2" s="1"/>
  <c r="V184" i="2"/>
  <c r="V216" i="2"/>
  <c r="V214" i="2" s="1"/>
  <c r="V224" i="2"/>
  <c r="N267" i="2"/>
  <c r="L267" i="2" s="1"/>
  <c r="R292" i="2"/>
  <c r="V292" i="2"/>
  <c r="R295" i="2"/>
  <c r="O302" i="2"/>
  <c r="S348" i="2"/>
  <c r="R122" i="2"/>
  <c r="N234" i="2"/>
  <c r="N235" i="2" s="1"/>
  <c r="T87" i="2"/>
  <c r="O93" i="2"/>
  <c r="R93" i="2" s="1"/>
  <c r="P88" i="2"/>
  <c r="V101" i="2"/>
  <c r="W98" i="2"/>
  <c r="V98" i="2" s="1"/>
  <c r="T106" i="2"/>
  <c r="U104" i="2"/>
  <c r="T116" i="2"/>
  <c r="U115" i="2"/>
  <c r="T123" i="2"/>
  <c r="U122" i="2"/>
  <c r="L133" i="2"/>
  <c r="M103" i="2"/>
  <c r="L103" i="2" s="1"/>
  <c r="W148" i="2"/>
  <c r="W147" i="2" s="1"/>
  <c r="X147" i="2"/>
  <c r="X234" i="2" s="1"/>
  <c r="X235" i="2" s="1"/>
  <c r="O166" i="2"/>
  <c r="R166" i="2" s="1"/>
  <c r="P163" i="2"/>
  <c r="O163" i="2" s="1"/>
  <c r="L176" i="2"/>
  <c r="M174" i="2"/>
  <c r="L174" i="2" s="1"/>
  <c r="T176" i="2"/>
  <c r="U174" i="2"/>
  <c r="T174" i="2" s="1"/>
  <c r="O190" i="2"/>
  <c r="R190" i="2" s="1"/>
  <c r="R188" i="2" s="1"/>
  <c r="P188" i="2"/>
  <c r="O188" i="2" s="1"/>
  <c r="O225" i="2"/>
  <c r="P224" i="2"/>
  <c r="O224" i="2" s="1"/>
  <c r="L87" i="2"/>
  <c r="V87" i="2"/>
  <c r="S88" i="2"/>
  <c r="T101" i="2"/>
  <c r="U98" i="2"/>
  <c r="T98" i="2" s="1"/>
  <c r="O104" i="2"/>
  <c r="R104" i="2" s="1"/>
  <c r="S106" i="2"/>
  <c r="V110" i="2"/>
  <c r="W103" i="2"/>
  <c r="S116" i="2"/>
  <c r="U133" i="2"/>
  <c r="O134" i="2"/>
  <c r="R134" i="2" s="1"/>
  <c r="R133" i="2" s="1"/>
  <c r="P133" i="2"/>
  <c r="S138" i="2"/>
  <c r="V133" i="2"/>
  <c r="O148" i="2"/>
  <c r="R148" i="2" s="1"/>
  <c r="P147" i="2"/>
  <c r="O147" i="2" s="1"/>
  <c r="R163" i="2"/>
  <c r="V176" i="2"/>
  <c r="O185" i="2"/>
  <c r="R185" i="2" s="1"/>
  <c r="R184" i="2" s="1"/>
  <c r="P184" i="2"/>
  <c r="V188" i="2"/>
  <c r="X265" i="2"/>
  <c r="X266" i="2" s="1"/>
  <c r="V255" i="2"/>
  <c r="U266" i="2"/>
  <c r="P348" i="2"/>
  <c r="O348" i="2" s="1"/>
  <c r="O294" i="2"/>
  <c r="R348" i="2"/>
  <c r="V220" i="2"/>
  <c r="V217" i="2" s="1"/>
  <c r="W217" i="2"/>
  <c r="P265" i="2"/>
  <c r="O265" i="2" s="1"/>
  <c r="O266" i="2" s="1"/>
  <c r="N266" i="2"/>
  <c r="W266" i="2"/>
  <c r="P349" i="2"/>
  <c r="M348" i="2"/>
  <c r="S349" i="2"/>
  <c r="R349" i="2" s="1"/>
  <c r="M266" i="2"/>
  <c r="V118" i="1"/>
  <c r="W174" i="2" l="1"/>
  <c r="V147" i="2"/>
  <c r="V348" i="2"/>
  <c r="V349" i="2" s="1"/>
  <c r="R103" i="2"/>
  <c r="V265" i="2"/>
  <c r="L234" i="2"/>
  <c r="L235" i="2" s="1"/>
  <c r="O349" i="2"/>
  <c r="V103" i="2"/>
  <c r="X267" i="2"/>
  <c r="X269" i="2" s="1"/>
  <c r="R174" i="2"/>
  <c r="O133" i="2"/>
  <c r="P103" i="2"/>
  <c r="O103" i="2" s="1"/>
  <c r="T133" i="2"/>
  <c r="S133" i="2"/>
  <c r="S122" i="2"/>
  <c r="T122" i="2"/>
  <c r="S115" i="2"/>
  <c r="T115" i="2"/>
  <c r="S104" i="2"/>
  <c r="U103" i="2"/>
  <c r="T104" i="2"/>
  <c r="L348" i="2"/>
  <c r="M349" i="2"/>
  <c r="V266" i="2"/>
  <c r="P266" i="2"/>
  <c r="P174" i="2"/>
  <c r="O174" i="2" s="1"/>
  <c r="O184" i="2"/>
  <c r="V174" i="2"/>
  <c r="V234" i="2" s="1"/>
  <c r="V235" i="2" s="1"/>
  <c r="R147" i="2"/>
  <c r="W234" i="2"/>
  <c r="W235" i="2" s="1"/>
  <c r="W267" i="2" s="1"/>
  <c r="M234" i="2"/>
  <c r="M235" i="2" s="1"/>
  <c r="M269" i="2" s="1"/>
  <c r="P87" i="2"/>
  <c r="O88" i="2"/>
  <c r="R88" i="2" s="1"/>
  <c r="R87" i="2" s="1"/>
  <c r="N269" i="2"/>
  <c r="X192" i="1"/>
  <c r="V197" i="1"/>
  <c r="V267" i="2" l="1"/>
  <c r="W269" i="2"/>
  <c r="V269" i="2" s="1"/>
  <c r="R234" i="2"/>
  <c r="P234" i="2"/>
  <c r="P235" i="2" s="1"/>
  <c r="O87" i="2"/>
  <c r="O234" i="2" s="1"/>
  <c r="O235" i="2" s="1"/>
  <c r="L269" i="2"/>
  <c r="T103" i="2"/>
  <c r="T234" i="2" s="1"/>
  <c r="T235" i="2" s="1"/>
  <c r="U234" i="2"/>
  <c r="U235" i="2" s="1"/>
  <c r="S174" i="2"/>
  <c r="V226" i="1"/>
  <c r="V225" i="1"/>
  <c r="W111" i="1"/>
  <c r="X111" i="1"/>
  <c r="V114" i="1"/>
  <c r="V112" i="1"/>
  <c r="S224" i="2" l="1"/>
  <c r="S214" i="2"/>
  <c r="S199" i="2"/>
  <c r="S98" i="2"/>
  <c r="S176" i="2"/>
  <c r="S217" i="2"/>
  <c r="S184" i="2"/>
  <c r="S103" i="2"/>
  <c r="S188" i="2"/>
  <c r="S147" i="2"/>
  <c r="S87" i="2"/>
  <c r="S234" i="2" l="1"/>
  <c r="X257" i="1"/>
  <c r="W257" i="1"/>
  <c r="V419" i="1" l="1"/>
  <c r="V392" i="1"/>
  <c r="X220" i="1" l="1"/>
  <c r="W220" i="1"/>
  <c r="V179" i="1"/>
  <c r="X102" i="1" l="1"/>
  <c r="W102" i="1"/>
  <c r="W139" i="1" l="1"/>
  <c r="X228" i="1" l="1"/>
  <c r="W99" i="1" l="1"/>
  <c r="V178" i="1" l="1"/>
  <c r="X89" i="1" l="1"/>
  <c r="V92" i="1"/>
  <c r="V93" i="1"/>
  <c r="V91" i="1" l="1"/>
  <c r="W89" i="1"/>
  <c r="V264" i="1"/>
  <c r="V261" i="1"/>
  <c r="V437" i="1" l="1"/>
  <c r="Q435" i="1"/>
  <c r="T435" i="1"/>
  <c r="S435" i="1"/>
  <c r="P435" i="1"/>
  <c r="L435" i="1"/>
  <c r="V434" i="1"/>
  <c r="Y426" i="1"/>
  <c r="Y427" i="1" s="1"/>
  <c r="X422" i="1"/>
  <c r="W422" i="1"/>
  <c r="V422" i="1" s="1"/>
  <c r="X418" i="1"/>
  <c r="W418" i="1"/>
  <c r="V393" i="1"/>
  <c r="R388" i="1"/>
  <c r="Q388" i="1"/>
  <c r="P388" i="1"/>
  <c r="R374" i="1"/>
  <c r="O374" i="1"/>
  <c r="L374" i="1"/>
  <c r="V359" i="1"/>
  <c r="V349" i="1"/>
  <c r="T348" i="1"/>
  <c r="R348" i="1" s="1"/>
  <c r="Q348" i="1"/>
  <c r="O348" i="1" s="1"/>
  <c r="N348" i="1"/>
  <c r="N426" i="1" s="1"/>
  <c r="N427" i="1" s="1"/>
  <c r="M348" i="1"/>
  <c r="R326" i="1"/>
  <c r="Q326" i="1"/>
  <c r="O326" i="1" s="1"/>
  <c r="R325" i="1"/>
  <c r="O325" i="1"/>
  <c r="R324" i="1"/>
  <c r="O324" i="1"/>
  <c r="T321" i="1"/>
  <c r="S321" i="1"/>
  <c r="Q321" i="1"/>
  <c r="P321" i="1"/>
  <c r="R315" i="1"/>
  <c r="O315" i="1"/>
  <c r="R314" i="1"/>
  <c r="Q314" i="1"/>
  <c r="Q301" i="1" s="1"/>
  <c r="P314" i="1"/>
  <c r="P301" i="1" s="1"/>
  <c r="T301" i="1"/>
  <c r="S301" i="1"/>
  <c r="L301" i="1"/>
  <c r="R300" i="1"/>
  <c r="Q300" i="1"/>
  <c r="P300" i="1"/>
  <c r="T297" i="1"/>
  <c r="S297" i="1"/>
  <c r="O297" i="1"/>
  <c r="L297" i="1"/>
  <c r="V293" i="1"/>
  <c r="R293" i="1"/>
  <c r="Q293" i="1"/>
  <c r="P293" i="1"/>
  <c r="J289" i="1"/>
  <c r="J285" i="1"/>
  <c r="S271" i="1"/>
  <c r="W270" i="1"/>
  <c r="W271" i="1" s="1"/>
  <c r="U270" i="1"/>
  <c r="T270" i="1" s="1"/>
  <c r="Q270" i="1"/>
  <c r="N270" i="1"/>
  <c r="N271" i="1" s="1"/>
  <c r="M270" i="1"/>
  <c r="M271" i="1" s="1"/>
  <c r="V269" i="1"/>
  <c r="T269" i="1"/>
  <c r="O269" i="1"/>
  <c r="R269" i="1" s="1"/>
  <c r="L269" i="1"/>
  <c r="V268" i="1"/>
  <c r="T268" i="1"/>
  <c r="O268" i="1"/>
  <c r="R268" i="1" s="1"/>
  <c r="L268" i="1"/>
  <c r="V267" i="1"/>
  <c r="T267" i="1"/>
  <c r="S267" i="1" s="1"/>
  <c r="O267" i="1"/>
  <c r="R267" i="1" s="1"/>
  <c r="L267" i="1"/>
  <c r="V266" i="1"/>
  <c r="V265" i="1"/>
  <c r="T265" i="1"/>
  <c r="S265" i="1" s="1"/>
  <c r="O265" i="1"/>
  <c r="R265" i="1" s="1"/>
  <c r="L265" i="1"/>
  <c r="T264" i="1"/>
  <c r="S264" i="1" s="1"/>
  <c r="O264" i="1"/>
  <c r="R264" i="1" s="1"/>
  <c r="L264" i="1"/>
  <c r="T263" i="1"/>
  <c r="O263" i="1"/>
  <c r="R263" i="1" s="1"/>
  <c r="L263" i="1"/>
  <c r="T262" i="1"/>
  <c r="P262" i="1"/>
  <c r="P270" i="1" s="1"/>
  <c r="L262" i="1"/>
  <c r="T261" i="1"/>
  <c r="S261" i="1" s="1"/>
  <c r="R261" i="1" s="1"/>
  <c r="O261" i="1"/>
  <c r="X260" i="1"/>
  <c r="V260" i="1" s="1"/>
  <c r="T260" i="1"/>
  <c r="O260" i="1"/>
  <c r="R260" i="1" s="1"/>
  <c r="L260" i="1"/>
  <c r="V257" i="1"/>
  <c r="U257" i="1"/>
  <c r="Q257" i="1"/>
  <c r="P257" i="1"/>
  <c r="V237" i="1"/>
  <c r="V236" i="1"/>
  <c r="T236" i="1"/>
  <c r="S236" i="1"/>
  <c r="O236" i="1"/>
  <c r="R236" i="1" s="1"/>
  <c r="L236" i="1"/>
  <c r="T235" i="1"/>
  <c r="S235" i="1"/>
  <c r="O235" i="1"/>
  <c r="T234" i="1"/>
  <c r="S234" i="1"/>
  <c r="O234" i="1"/>
  <c r="R234" i="1" s="1"/>
  <c r="R233" i="1" s="1"/>
  <c r="L234" i="1"/>
  <c r="W233" i="1"/>
  <c r="T233" i="1"/>
  <c r="Q233" i="1"/>
  <c r="O233" i="1" s="1"/>
  <c r="N233" i="1"/>
  <c r="W232" i="1"/>
  <c r="T232" i="1"/>
  <c r="S232" i="1"/>
  <c r="O232" i="1"/>
  <c r="W231" i="1"/>
  <c r="T231" i="1"/>
  <c r="S231" i="1"/>
  <c r="L231" i="1"/>
  <c r="V230" i="1"/>
  <c r="T230" i="1"/>
  <c r="S230" i="1"/>
  <c r="O230" i="1"/>
  <c r="L230" i="1"/>
  <c r="V229" i="1"/>
  <c r="T229" i="1"/>
  <c r="S229" i="1"/>
  <c r="P229" i="1"/>
  <c r="O229" i="1" s="1"/>
  <c r="L229" i="1"/>
  <c r="W228" i="1"/>
  <c r="V228" i="1" s="1"/>
  <c r="U228" i="1"/>
  <c r="T228" i="1" s="1"/>
  <c r="R228" i="1"/>
  <c r="M228" i="1"/>
  <c r="L228" i="1" s="1"/>
  <c r="W224" i="1"/>
  <c r="W221" i="1" s="1"/>
  <c r="T224" i="1"/>
  <c r="S224" i="1"/>
  <c r="O224" i="1"/>
  <c r="R224" i="1" s="1"/>
  <c r="V223" i="1"/>
  <c r="T223" i="1"/>
  <c r="S223" i="1"/>
  <c r="O223" i="1"/>
  <c r="R223" i="1" s="1"/>
  <c r="L223" i="1"/>
  <c r="V222" i="1"/>
  <c r="T222" i="1"/>
  <c r="S222" i="1"/>
  <c r="O222" i="1"/>
  <c r="R222" i="1" s="1"/>
  <c r="L222" i="1"/>
  <c r="U221" i="1"/>
  <c r="T221" i="1" s="1"/>
  <c r="Q221" i="1"/>
  <c r="P221" i="1"/>
  <c r="N221" i="1"/>
  <c r="M221" i="1"/>
  <c r="W218" i="1"/>
  <c r="T220" i="1"/>
  <c r="S220" i="1"/>
  <c r="O220" i="1"/>
  <c r="R220" i="1" s="1"/>
  <c r="R218" i="1" s="1"/>
  <c r="L220" i="1"/>
  <c r="W219" i="1"/>
  <c r="T219" i="1"/>
  <c r="R219" i="1" s="1"/>
  <c r="S219" i="1"/>
  <c r="O219" i="1"/>
  <c r="L219" i="1"/>
  <c r="U218" i="1"/>
  <c r="T218" i="1" s="1"/>
  <c r="Q218" i="1"/>
  <c r="P218" i="1"/>
  <c r="N218" i="1"/>
  <c r="M218" i="1"/>
  <c r="W207" i="1"/>
  <c r="T207" i="1"/>
  <c r="R207" i="1" s="1"/>
  <c r="S207" i="1"/>
  <c r="O207" i="1"/>
  <c r="L207" i="1"/>
  <c r="W206" i="1"/>
  <c r="T206" i="1"/>
  <c r="R206" i="1" s="1"/>
  <c r="S206" i="1"/>
  <c r="O206" i="1"/>
  <c r="L206" i="1"/>
  <c r="V205" i="1"/>
  <c r="V203" i="1" s="1"/>
  <c r="T205" i="1"/>
  <c r="S205" i="1"/>
  <c r="O205" i="1"/>
  <c r="R205" i="1" s="1"/>
  <c r="R203" i="1" s="1"/>
  <c r="L205" i="1"/>
  <c r="W204" i="1"/>
  <c r="T204" i="1"/>
  <c r="R204" i="1" s="1"/>
  <c r="S204" i="1"/>
  <c r="O204" i="1"/>
  <c r="L204" i="1"/>
  <c r="X203" i="1"/>
  <c r="W203" i="1" s="1"/>
  <c r="U203" i="1"/>
  <c r="T203" i="1" s="1"/>
  <c r="Q203" i="1"/>
  <c r="P203" i="1"/>
  <c r="N203" i="1"/>
  <c r="M203" i="1"/>
  <c r="V201" i="1"/>
  <c r="T201" i="1"/>
  <c r="S201" i="1"/>
  <c r="Q201" i="1"/>
  <c r="P201" i="1"/>
  <c r="L201" i="1"/>
  <c r="V200" i="1"/>
  <c r="T200" i="1"/>
  <c r="S200" i="1"/>
  <c r="O200" i="1"/>
  <c r="R200" i="1" s="1"/>
  <c r="L200" i="1"/>
  <c r="V199" i="1"/>
  <c r="T199" i="1"/>
  <c r="S199" i="1"/>
  <c r="P199" i="1"/>
  <c r="O199" i="1" s="1"/>
  <c r="R199" i="1" s="1"/>
  <c r="L199" i="1"/>
  <c r="V198" i="1"/>
  <c r="T198" i="1"/>
  <c r="S198" i="1"/>
  <c r="Q198" i="1"/>
  <c r="P198" i="1"/>
  <c r="L198" i="1"/>
  <c r="V196" i="1"/>
  <c r="T196" i="1"/>
  <c r="S196" i="1"/>
  <c r="Q196" i="1"/>
  <c r="P196" i="1"/>
  <c r="L196" i="1"/>
  <c r="V195" i="1"/>
  <c r="T195" i="1"/>
  <c r="S195" i="1"/>
  <c r="Q195" i="1"/>
  <c r="P195" i="1"/>
  <c r="L195" i="1"/>
  <c r="W194" i="1"/>
  <c r="W192" i="1" s="1"/>
  <c r="T194" i="1"/>
  <c r="S194" i="1"/>
  <c r="Q194" i="1"/>
  <c r="P194" i="1"/>
  <c r="L194" i="1"/>
  <c r="U192" i="1"/>
  <c r="T192" i="1" s="1"/>
  <c r="N192" i="1"/>
  <c r="M192" i="1"/>
  <c r="T191" i="1"/>
  <c r="S191" i="1"/>
  <c r="Q191" i="1"/>
  <c r="P191" i="1"/>
  <c r="L191" i="1"/>
  <c r="V187" i="1"/>
  <c r="T187" i="1"/>
  <c r="S187" i="1"/>
  <c r="Q187" i="1"/>
  <c r="P187" i="1"/>
  <c r="L187" i="1"/>
  <c r="V186" i="1"/>
  <c r="T186" i="1"/>
  <c r="S186" i="1"/>
  <c r="Q186" i="1"/>
  <c r="P186" i="1"/>
  <c r="L186" i="1"/>
  <c r="U185" i="1"/>
  <c r="T185" i="1" s="1"/>
  <c r="N185" i="1"/>
  <c r="M185" i="1"/>
  <c r="V183" i="1"/>
  <c r="T183" i="1"/>
  <c r="S183" i="1"/>
  <c r="O183" i="1"/>
  <c r="R183" i="1" s="1"/>
  <c r="L183" i="1"/>
  <c r="V182" i="1"/>
  <c r="W181" i="1"/>
  <c r="T181" i="1"/>
  <c r="S181" i="1"/>
  <c r="O181" i="1"/>
  <c r="R181" i="1" s="1"/>
  <c r="L181" i="1"/>
  <c r="V180" i="1"/>
  <c r="T180" i="1"/>
  <c r="S180" i="1"/>
  <c r="O180" i="1"/>
  <c r="R180" i="1" s="1"/>
  <c r="L180" i="1"/>
  <c r="T179" i="1"/>
  <c r="S179" i="1"/>
  <c r="O179" i="1"/>
  <c r="R179" i="1" s="1"/>
  <c r="L179" i="1"/>
  <c r="T178" i="1"/>
  <c r="S178" i="1"/>
  <c r="O178" i="1"/>
  <c r="R178" i="1" s="1"/>
  <c r="L178" i="1"/>
  <c r="X177" i="1"/>
  <c r="U177" i="1"/>
  <c r="Q177" i="1"/>
  <c r="P177" i="1"/>
  <c r="N177" i="1"/>
  <c r="M177" i="1"/>
  <c r="V171" i="1"/>
  <c r="T171" i="1"/>
  <c r="S171" i="1"/>
  <c r="Q171" i="1"/>
  <c r="P171" i="1"/>
  <c r="V170" i="1"/>
  <c r="V169" i="1"/>
  <c r="V168" i="1"/>
  <c r="V167" i="1"/>
  <c r="T167" i="1"/>
  <c r="S167" i="1"/>
  <c r="Q167" i="1"/>
  <c r="Q164" i="1" s="1"/>
  <c r="P167" i="1"/>
  <c r="L167" i="1"/>
  <c r="V166" i="1"/>
  <c r="V165" i="1"/>
  <c r="T165" i="1"/>
  <c r="S165" i="1"/>
  <c r="O165" i="1"/>
  <c r="R165" i="1" s="1"/>
  <c r="L165" i="1"/>
  <c r="T164" i="1"/>
  <c r="S164" i="1"/>
  <c r="L164" i="1"/>
  <c r="V163" i="1"/>
  <c r="V162" i="1"/>
  <c r="V161" i="1"/>
  <c r="V160" i="1"/>
  <c r="W158" i="1"/>
  <c r="V158" i="1" s="1"/>
  <c r="T158" i="1"/>
  <c r="S158" i="1"/>
  <c r="Q158" i="1"/>
  <c r="P158" i="1"/>
  <c r="L158" i="1"/>
  <c r="W156" i="1"/>
  <c r="V156" i="1" s="1"/>
  <c r="T156" i="1"/>
  <c r="S156" i="1"/>
  <c r="Q156" i="1"/>
  <c r="P156" i="1"/>
  <c r="L156" i="1"/>
  <c r="W155" i="1"/>
  <c r="V155" i="1" s="1"/>
  <c r="T155" i="1"/>
  <c r="S155" i="1"/>
  <c r="Q155" i="1"/>
  <c r="P155" i="1"/>
  <c r="L155" i="1"/>
  <c r="V153" i="1"/>
  <c r="L153" i="1"/>
  <c r="W152" i="1"/>
  <c r="V152" i="1" s="1"/>
  <c r="T152" i="1"/>
  <c r="O152" i="1"/>
  <c r="V150" i="1"/>
  <c r="X149" i="1"/>
  <c r="W149" i="1" s="1"/>
  <c r="W148" i="1" s="1"/>
  <c r="U149" i="1"/>
  <c r="Q149" i="1"/>
  <c r="P149" i="1"/>
  <c r="L149" i="1"/>
  <c r="N148" i="1"/>
  <c r="M148" i="1"/>
  <c r="V143" i="1"/>
  <c r="T143" i="1"/>
  <c r="S143" i="1"/>
  <c r="Q143" i="1"/>
  <c r="P143" i="1"/>
  <c r="L143" i="1"/>
  <c r="V142" i="1"/>
  <c r="T142" i="1"/>
  <c r="S142" i="1"/>
  <c r="O142" i="1"/>
  <c r="L142" i="1"/>
  <c r="V140" i="1"/>
  <c r="T140" i="1"/>
  <c r="S140" i="1"/>
  <c r="Q140" i="1"/>
  <c r="P140" i="1"/>
  <c r="L140" i="1"/>
  <c r="V139" i="1"/>
  <c r="U139" i="1"/>
  <c r="T139" i="1" s="1"/>
  <c r="Q139" i="1"/>
  <c r="P139" i="1"/>
  <c r="L139" i="1"/>
  <c r="T138" i="1"/>
  <c r="S138" i="1"/>
  <c r="O138" i="1"/>
  <c r="R138" i="1" s="1"/>
  <c r="L138" i="1"/>
  <c r="V137" i="1"/>
  <c r="V136" i="1"/>
  <c r="T136" i="1"/>
  <c r="S136" i="1"/>
  <c r="O136" i="1"/>
  <c r="R136" i="1" s="1"/>
  <c r="L136" i="1"/>
  <c r="V135" i="1"/>
  <c r="T135" i="1"/>
  <c r="S135" i="1"/>
  <c r="Q135" i="1"/>
  <c r="P135" i="1"/>
  <c r="L135" i="1"/>
  <c r="X134" i="1"/>
  <c r="N134" i="1"/>
  <c r="M134" i="1"/>
  <c r="V133" i="1"/>
  <c r="T133" i="1"/>
  <c r="S133" i="1"/>
  <c r="O133" i="1"/>
  <c r="R133" i="1" s="1"/>
  <c r="L133" i="1"/>
  <c r="V132" i="1"/>
  <c r="T132" i="1"/>
  <c r="Q132" i="1"/>
  <c r="P132" i="1"/>
  <c r="L132" i="1"/>
  <c r="V131" i="1"/>
  <c r="T131" i="1"/>
  <c r="S131" i="1"/>
  <c r="Q131" i="1"/>
  <c r="P131" i="1"/>
  <c r="T130" i="1"/>
  <c r="S130" i="1"/>
  <c r="O130" i="1"/>
  <c r="R130" i="1" s="1"/>
  <c r="L130" i="1"/>
  <c r="T129" i="1"/>
  <c r="S129" i="1"/>
  <c r="O129" i="1"/>
  <c r="R129" i="1" s="1"/>
  <c r="L129" i="1"/>
  <c r="S128" i="1"/>
  <c r="O128" i="1"/>
  <c r="R128" i="1" s="1"/>
  <c r="L128" i="1"/>
  <c r="T127" i="1"/>
  <c r="S127" i="1"/>
  <c r="O127" i="1"/>
  <c r="R127" i="1" s="1"/>
  <c r="L127" i="1"/>
  <c r="V126" i="1"/>
  <c r="T126" i="1"/>
  <c r="S126" i="1"/>
  <c r="O126" i="1"/>
  <c r="R126" i="1" s="1"/>
  <c r="L126" i="1"/>
  <c r="V125" i="1"/>
  <c r="T125" i="1"/>
  <c r="S125" i="1"/>
  <c r="O125" i="1"/>
  <c r="R125" i="1" s="1"/>
  <c r="L125" i="1"/>
  <c r="V124" i="1"/>
  <c r="U124" i="1"/>
  <c r="T124" i="1" s="1"/>
  <c r="Q124" i="1"/>
  <c r="P124" i="1"/>
  <c r="X123" i="1"/>
  <c r="W123" i="1"/>
  <c r="N123" i="1"/>
  <c r="M123" i="1"/>
  <c r="V121" i="1"/>
  <c r="T121" i="1"/>
  <c r="S121" i="1"/>
  <c r="O121" i="1"/>
  <c r="R121" i="1" s="1"/>
  <c r="L121" i="1"/>
  <c r="V120" i="1"/>
  <c r="T120" i="1"/>
  <c r="S120" i="1"/>
  <c r="Q120" i="1"/>
  <c r="O120" i="1" s="1"/>
  <c r="R120" i="1" s="1"/>
  <c r="L120" i="1"/>
  <c r="V119" i="1"/>
  <c r="T119" i="1"/>
  <c r="S119" i="1"/>
  <c r="O119" i="1"/>
  <c r="R119" i="1" s="1"/>
  <c r="L119" i="1"/>
  <c r="V117" i="1"/>
  <c r="U117" i="1"/>
  <c r="S117" i="1" s="1"/>
  <c r="Q117" i="1"/>
  <c r="P117" i="1"/>
  <c r="L117" i="1"/>
  <c r="X116" i="1"/>
  <c r="W116" i="1"/>
  <c r="N116" i="1"/>
  <c r="M116" i="1"/>
  <c r="V115" i="1"/>
  <c r="T115" i="1"/>
  <c r="S115" i="1"/>
  <c r="Q115" i="1"/>
  <c r="P115" i="1"/>
  <c r="V111" i="1"/>
  <c r="T111" i="1"/>
  <c r="S111" i="1"/>
  <c r="O111" i="1"/>
  <c r="R111" i="1" s="1"/>
  <c r="L111" i="1"/>
  <c r="V107" i="1"/>
  <c r="U107" i="1"/>
  <c r="T107" i="1" s="1"/>
  <c r="Q107" i="1"/>
  <c r="Q105" i="1" s="1"/>
  <c r="P107" i="1"/>
  <c r="L107" i="1"/>
  <c r="X105" i="1"/>
  <c r="W105" i="1"/>
  <c r="N105" i="1"/>
  <c r="M105" i="1"/>
  <c r="V103" i="1"/>
  <c r="T103" i="1"/>
  <c r="S103" i="1"/>
  <c r="O103" i="1"/>
  <c r="R103" i="1" s="1"/>
  <c r="L103" i="1"/>
  <c r="V102" i="1"/>
  <c r="U102" i="1"/>
  <c r="T102" i="1" s="1"/>
  <c r="Q102" i="1"/>
  <c r="Q99" i="1" s="1"/>
  <c r="P102" i="1"/>
  <c r="L102" i="1"/>
  <c r="V101" i="1"/>
  <c r="T101" i="1"/>
  <c r="S101" i="1"/>
  <c r="O101" i="1"/>
  <c r="R101" i="1" s="1"/>
  <c r="L101" i="1"/>
  <c r="X99" i="1"/>
  <c r="V99" i="1" s="1"/>
  <c r="N99" i="1"/>
  <c r="M99" i="1"/>
  <c r="V98" i="1"/>
  <c r="U98" i="1"/>
  <c r="T98" i="1" s="1"/>
  <c r="Q98" i="1"/>
  <c r="P98" i="1"/>
  <c r="L98" i="1"/>
  <c r="V97" i="1"/>
  <c r="T97" i="1"/>
  <c r="S97" i="1"/>
  <c r="O97" i="1"/>
  <c r="R97" i="1" s="1"/>
  <c r="L97" i="1"/>
  <c r="T96" i="1"/>
  <c r="S96" i="1"/>
  <c r="Q96" i="1"/>
  <c r="O96" i="1" s="1"/>
  <c r="R96" i="1" s="1"/>
  <c r="L96" i="1"/>
  <c r="V95" i="1"/>
  <c r="T95" i="1"/>
  <c r="S95" i="1"/>
  <c r="Q95" i="1"/>
  <c r="L95" i="1"/>
  <c r="V94" i="1"/>
  <c r="T94" i="1"/>
  <c r="S94" i="1"/>
  <c r="Q94" i="1"/>
  <c r="Q89" i="1" s="1"/>
  <c r="P94" i="1"/>
  <c r="L94" i="1"/>
  <c r="T93" i="1"/>
  <c r="S93" i="1"/>
  <c r="O93" i="1"/>
  <c r="R93" i="1" s="1"/>
  <c r="L93" i="1"/>
  <c r="T92" i="1"/>
  <c r="S92" i="1"/>
  <c r="O92" i="1"/>
  <c r="R92" i="1" s="1"/>
  <c r="L92" i="1"/>
  <c r="T91" i="1"/>
  <c r="S91" i="1"/>
  <c r="O91" i="1"/>
  <c r="R91" i="1" s="1"/>
  <c r="L91" i="1"/>
  <c r="V89" i="1"/>
  <c r="U89" i="1"/>
  <c r="S89" i="1" s="1"/>
  <c r="L89" i="1"/>
  <c r="Y88" i="1"/>
  <c r="Y238" i="1" s="1"/>
  <c r="Y239" i="1" s="1"/>
  <c r="X88" i="1"/>
  <c r="W88" i="1"/>
  <c r="N88" i="1"/>
  <c r="M88" i="1"/>
  <c r="V84" i="1"/>
  <c r="T84" i="1"/>
  <c r="O84" i="1"/>
  <c r="R270" i="1" l="1"/>
  <c r="V418" i="1"/>
  <c r="X427" i="1"/>
  <c r="X428" i="1" s="1"/>
  <c r="U99" i="1"/>
  <c r="T99" i="1" s="1"/>
  <c r="V134" i="1"/>
  <c r="V116" i="1"/>
  <c r="P123" i="1"/>
  <c r="U134" i="1"/>
  <c r="T134" i="1" s="1"/>
  <c r="W427" i="1"/>
  <c r="W428" i="1" s="1"/>
  <c r="S98" i="1"/>
  <c r="V224" i="1"/>
  <c r="V221" i="1" s="1"/>
  <c r="V123" i="1"/>
  <c r="L134" i="1"/>
  <c r="V191" i="1"/>
  <c r="V185" i="1" s="1"/>
  <c r="N272" i="1"/>
  <c r="O149" i="1"/>
  <c r="R149" i="1" s="1"/>
  <c r="V194" i="1"/>
  <c r="V192" i="1" s="1"/>
  <c r="O293" i="1"/>
  <c r="R297" i="1"/>
  <c r="O388" i="1"/>
  <c r="U123" i="1"/>
  <c r="T123" i="1" s="1"/>
  <c r="O139" i="1"/>
  <c r="S139" i="1"/>
  <c r="L148" i="1"/>
  <c r="X148" i="1"/>
  <c r="Q148" i="1"/>
  <c r="N175" i="1"/>
  <c r="O187" i="1"/>
  <c r="R187" i="1" s="1"/>
  <c r="O270" i="1"/>
  <c r="T426" i="1"/>
  <c r="T427" i="1" s="1"/>
  <c r="O301" i="1"/>
  <c r="O435" i="1"/>
  <c r="U116" i="1"/>
  <c r="T116" i="1" s="1"/>
  <c r="T117" i="1"/>
  <c r="L123" i="1"/>
  <c r="O124" i="1"/>
  <c r="R124" i="1" s="1"/>
  <c r="O132" i="1"/>
  <c r="R132" i="1" s="1"/>
  <c r="W134" i="1"/>
  <c r="W104" i="1" s="1"/>
  <c r="Q134" i="1"/>
  <c r="O158" i="1"/>
  <c r="R158" i="1" s="1"/>
  <c r="L192" i="1"/>
  <c r="O194" i="1"/>
  <c r="R194" i="1" s="1"/>
  <c r="O201" i="1"/>
  <c r="R201" i="1" s="1"/>
  <c r="X218" i="1"/>
  <c r="L221" i="1"/>
  <c r="O221" i="1"/>
  <c r="R221" i="1"/>
  <c r="P271" i="1"/>
  <c r="L270" i="1"/>
  <c r="L271" i="1" s="1"/>
  <c r="V164" i="1"/>
  <c r="V88" i="1"/>
  <c r="O191" i="1"/>
  <c r="R191" i="1" s="1"/>
  <c r="R301" i="1"/>
  <c r="O321" i="1"/>
  <c r="R321" i="1"/>
  <c r="L88" i="1"/>
  <c r="O94" i="1"/>
  <c r="R94" i="1" s="1"/>
  <c r="U105" i="1"/>
  <c r="T105" i="1" s="1"/>
  <c r="S107" i="1"/>
  <c r="O115" i="1"/>
  <c r="R115" i="1" s="1"/>
  <c r="L116" i="1"/>
  <c r="O131" i="1"/>
  <c r="R131" i="1" s="1"/>
  <c r="O143" i="1"/>
  <c r="R143" i="1" s="1"/>
  <c r="O155" i="1"/>
  <c r="R155" i="1" s="1"/>
  <c r="O177" i="1"/>
  <c r="O196" i="1"/>
  <c r="R196" i="1" s="1"/>
  <c r="O203" i="1"/>
  <c r="L218" i="1"/>
  <c r="Q426" i="1"/>
  <c r="Q427" i="1" s="1"/>
  <c r="V388" i="1"/>
  <c r="V297" i="1"/>
  <c r="V315" i="1"/>
  <c r="V321" i="1"/>
  <c r="V358" i="1"/>
  <c r="U88" i="1"/>
  <c r="T88" i="1" s="1"/>
  <c r="T89" i="1"/>
  <c r="O98" i="1"/>
  <c r="R98" i="1" s="1"/>
  <c r="O140" i="1"/>
  <c r="V177" i="1"/>
  <c r="Q185" i="1"/>
  <c r="O198" i="1"/>
  <c r="R198" i="1" s="1"/>
  <c r="L203" i="1"/>
  <c r="O218" i="1"/>
  <c r="L233" i="1"/>
  <c r="O257" i="1"/>
  <c r="X270" i="1"/>
  <c r="X271" i="1" s="1"/>
  <c r="V271" i="1" s="1"/>
  <c r="S102" i="1"/>
  <c r="N104" i="1"/>
  <c r="O135" i="1"/>
  <c r="R135" i="1" s="1"/>
  <c r="Q192" i="1"/>
  <c r="O314" i="1"/>
  <c r="S426" i="1"/>
  <c r="S427" i="1" s="1"/>
  <c r="L99" i="1"/>
  <c r="Q123" i="1"/>
  <c r="P134" i="1"/>
  <c r="O156" i="1"/>
  <c r="R156" i="1" s="1"/>
  <c r="O171" i="1"/>
  <c r="R171" i="1" s="1"/>
  <c r="L185" i="1"/>
  <c r="O195" i="1"/>
  <c r="R195" i="1" s="1"/>
  <c r="Q271" i="1"/>
  <c r="O262" i="1"/>
  <c r="R262" i="1" s="1"/>
  <c r="L348" i="1"/>
  <c r="X104" i="1"/>
  <c r="V105" i="1"/>
  <c r="O107" i="1"/>
  <c r="R107" i="1" s="1"/>
  <c r="P105" i="1"/>
  <c r="T149" i="1"/>
  <c r="U148" i="1"/>
  <c r="T148" i="1" s="1"/>
  <c r="O167" i="1"/>
  <c r="R167" i="1" s="1"/>
  <c r="P164" i="1"/>
  <c r="L177" i="1"/>
  <c r="M175" i="1"/>
  <c r="T177" i="1"/>
  <c r="U175" i="1"/>
  <c r="T175" i="1" s="1"/>
  <c r="P89" i="1"/>
  <c r="O95" i="1"/>
  <c r="R95" i="1" s="1"/>
  <c r="Q88" i="1"/>
  <c r="O102" i="1"/>
  <c r="R102" i="1" s="1"/>
  <c r="R99" i="1" s="1"/>
  <c r="P99" i="1"/>
  <c r="O99" i="1" s="1"/>
  <c r="M104" i="1"/>
  <c r="M238" i="1" s="1"/>
  <c r="M239" i="1" s="1"/>
  <c r="M274" i="1" s="1"/>
  <c r="Q116" i="1"/>
  <c r="O117" i="1"/>
  <c r="R117" i="1" s="1"/>
  <c r="R116" i="1" s="1"/>
  <c r="P116" i="1"/>
  <c r="S149" i="1"/>
  <c r="V149" i="1"/>
  <c r="X175" i="1"/>
  <c r="W177" i="1"/>
  <c r="R177" i="1"/>
  <c r="O186" i="1"/>
  <c r="R186" i="1" s="1"/>
  <c r="P185" i="1"/>
  <c r="P192" i="1"/>
  <c r="U271" i="1"/>
  <c r="T257" i="1"/>
  <c r="T271" i="1" s="1"/>
  <c r="M272" i="1"/>
  <c r="P426" i="1"/>
  <c r="O300" i="1"/>
  <c r="V220" i="1"/>
  <c r="V218" i="1" s="1"/>
  <c r="P228" i="1"/>
  <c r="O228" i="1" s="1"/>
  <c r="M426" i="1"/>
  <c r="X238" i="1" l="1"/>
  <c r="X239" i="1" s="1"/>
  <c r="X272" i="1" s="1"/>
  <c r="O123" i="1"/>
  <c r="R134" i="1"/>
  <c r="O271" i="1"/>
  <c r="S123" i="1"/>
  <c r="S116" i="1"/>
  <c r="L272" i="1"/>
  <c r="V148" i="1"/>
  <c r="O426" i="1"/>
  <c r="W175" i="1"/>
  <c r="N238" i="1"/>
  <c r="N239" i="1" s="1"/>
  <c r="N274" i="1" s="1"/>
  <c r="L274" i="1" s="1"/>
  <c r="S134" i="1"/>
  <c r="V104" i="1"/>
  <c r="R426" i="1"/>
  <c r="O192" i="1"/>
  <c r="S105" i="1"/>
  <c r="L175" i="1"/>
  <c r="R185" i="1"/>
  <c r="R192" i="1"/>
  <c r="R427" i="1"/>
  <c r="Q104" i="1"/>
  <c r="U104" i="1"/>
  <c r="T104" i="1" s="1"/>
  <c r="T238" i="1" s="1"/>
  <c r="T239" i="1" s="1"/>
  <c r="O134" i="1"/>
  <c r="Q175" i="1"/>
  <c r="R123" i="1"/>
  <c r="V428" i="1"/>
  <c r="V426" i="1"/>
  <c r="V427" i="1" s="1"/>
  <c r="L104" i="1"/>
  <c r="O116" i="1"/>
  <c r="R164" i="1"/>
  <c r="R148" i="1" s="1"/>
  <c r="R435" i="1"/>
  <c r="V270" i="1"/>
  <c r="L426" i="1"/>
  <c r="M427" i="1"/>
  <c r="O89" i="1"/>
  <c r="R89" i="1" s="1"/>
  <c r="R88" i="1" s="1"/>
  <c r="P88" i="1"/>
  <c r="P104" i="1"/>
  <c r="O105" i="1"/>
  <c r="R105" i="1" s="1"/>
  <c r="P427" i="1"/>
  <c r="O427" i="1" s="1"/>
  <c r="P175" i="1"/>
  <c r="O185" i="1"/>
  <c r="O164" i="1"/>
  <c r="P148" i="1"/>
  <c r="O148" i="1" s="1"/>
  <c r="X274" i="1" l="1"/>
  <c r="X457" i="1"/>
  <c r="V175" i="1"/>
  <c r="V238" i="1" s="1"/>
  <c r="V239" i="1" s="1"/>
  <c r="W238" i="1"/>
  <c r="W239" i="1" s="1"/>
  <c r="W272" i="1" s="1"/>
  <c r="W457" i="1" s="1"/>
  <c r="R175" i="1"/>
  <c r="R104" i="1"/>
  <c r="Q238" i="1"/>
  <c r="Q239" i="1" s="1"/>
  <c r="O104" i="1"/>
  <c r="L238" i="1"/>
  <c r="L239" i="1" s="1"/>
  <c r="O175" i="1"/>
  <c r="U238" i="1"/>
  <c r="U239" i="1" s="1"/>
  <c r="O88" i="1"/>
  <c r="P238" i="1"/>
  <c r="P239" i="1" s="1"/>
  <c r="V457" i="1" l="1"/>
  <c r="W274" i="1"/>
  <c r="V274" i="1" s="1"/>
  <c r="V272" i="1"/>
  <c r="R238" i="1"/>
  <c r="S88" i="1" s="1"/>
  <c r="O238" i="1"/>
  <c r="O239" i="1" s="1"/>
  <c r="S104" i="1" l="1"/>
  <c r="S177" i="1"/>
  <c r="S218" i="1"/>
  <c r="S228" i="1"/>
  <c r="S148" i="1"/>
  <c r="S221" i="1"/>
  <c r="S99" i="1"/>
  <c r="S192" i="1"/>
  <c r="S175" i="1"/>
  <c r="S185" i="1"/>
  <c r="S203" i="1"/>
  <c r="S238" i="1" l="1"/>
  <c r="O227" i="2" l="1"/>
  <c r="O231" i="1"/>
</calcChain>
</file>

<file path=xl/comments1.xml><?xml version="1.0" encoding="utf-8"?>
<comments xmlns="http://schemas.openxmlformats.org/spreadsheetml/2006/main">
  <authors>
    <author>ТСЖ-Вилонова 6</author>
    <author>Светик</author>
  </authors>
  <commentList>
    <comment ref="P110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Проведение анализа воды
</t>
        </r>
      </text>
    </comment>
    <comment ref="Q110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Проведение анализа воды</t>
        </r>
      </text>
    </comment>
    <comment ref="P114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Аптечка</t>
        </r>
      </text>
    </comment>
    <comment ref="Q114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Аптечка</t>
        </r>
      </text>
    </comment>
    <comment ref="P116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 3850-очистка приямков, 10000-ремонт  пола в лифт.маш.отд</t>
        </r>
      </text>
    </comment>
    <comment ref="Q116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3850,7349-очистка приямков, 
</t>
        </r>
      </text>
    </comment>
    <comment ref="P138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2000-фотоэл.на въездные ворота,1700-доводчик
</t>
        </r>
      </text>
    </comment>
    <comment ref="Q138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1200-замена кабеля
1700-доводчик</t>
        </r>
      </text>
    </comment>
    <comment ref="P155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4500-замена стекол</t>
        </r>
      </text>
    </comment>
    <comment ref="P157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
21144-почтовые ящики</t>
        </r>
      </text>
    </comment>
    <comment ref="P166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4950-устан.урн,21000-урны</t>
        </r>
      </text>
    </comment>
    <comment ref="Q166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3550,установка столбиков,урн, 1563,50-монтаж поливочного трубопровода
</t>
        </r>
      </text>
    </comment>
    <comment ref="P225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420-трубка
</t>
        </r>
      </text>
    </comment>
    <comment ref="P228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4539-таблички охранникам
</t>
        </r>
      </text>
    </comment>
    <comment ref="V228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4539-таблички охранникам
</t>
        </r>
      </text>
    </comment>
    <comment ref="X228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4539-таблички охранникам
</t>
        </r>
      </text>
    </comment>
    <comment ref="W233" authorId="1">
      <text>
        <r>
          <rPr>
            <b/>
            <sz val="9"/>
            <color indexed="81"/>
            <rFont val="Tahoma"/>
            <family val="2"/>
            <charset val="204"/>
          </rPr>
          <t>Светик:</t>
        </r>
        <r>
          <rPr>
            <sz val="9"/>
            <color indexed="81"/>
            <rFont val="Tahoma"/>
            <family val="2"/>
            <charset val="204"/>
          </rPr>
          <t xml:space="preserve">
ДОПОЛНИТЬ</t>
        </r>
      </text>
    </comment>
    <comment ref="P360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4950-устан.урн,21000-урны</t>
        </r>
      </text>
    </comment>
    <comment ref="Q360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3550,установка столбиков,урн, 1563,50-монтаж поливочного трубопровода
</t>
        </r>
      </text>
    </comment>
  </commentList>
</comments>
</file>

<file path=xl/comments2.xml><?xml version="1.0" encoding="utf-8"?>
<comments xmlns="http://schemas.openxmlformats.org/spreadsheetml/2006/main">
  <authors>
    <author>ТСЖ-Вилонова 6</author>
    <author>Светик</author>
  </authors>
  <commentList>
    <comment ref="P111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Проведение анализа воды
</t>
        </r>
      </text>
    </comment>
    <comment ref="Q111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Проведение анализа воды</t>
        </r>
      </text>
    </comment>
    <comment ref="P115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Аптечка</t>
        </r>
      </text>
    </comment>
    <comment ref="Q115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Аптечка</t>
        </r>
      </text>
    </comment>
    <comment ref="P117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 3850-очистка приямков, 10000-ремонт  пола в лифт.маш.отд</t>
        </r>
      </text>
    </comment>
    <comment ref="Q117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3850,7349-очистка приямков, 
</t>
        </r>
      </text>
    </comment>
    <comment ref="P139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2000-фотоэл.на въездные ворота,1700-доводчик
</t>
        </r>
      </text>
    </comment>
    <comment ref="Q139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1200-замена кабеля
1700-доводчик</t>
        </r>
      </text>
    </comment>
    <comment ref="P156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4500-замена стекол</t>
        </r>
      </text>
    </comment>
    <comment ref="P158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
21144-почтовые ящики</t>
        </r>
      </text>
    </comment>
    <comment ref="P167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4950-устан.урн,21000-урны</t>
        </r>
      </text>
    </comment>
    <comment ref="Q167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3550,установка столбиков,урн, 1563,50-монтаж поливочного трубопровода
</t>
        </r>
      </text>
    </comment>
    <comment ref="P229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420-трубка
</t>
        </r>
      </text>
    </comment>
    <comment ref="P232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4539-таблички охранникам
</t>
        </r>
      </text>
    </comment>
    <comment ref="V232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4539-таблички охранникам
</t>
        </r>
      </text>
    </comment>
    <comment ref="X232" authorId="0">
      <text>
        <r>
          <rPr>
            <b/>
            <sz val="9"/>
            <color indexed="81"/>
            <rFont val="Tahoma"/>
            <family val="2"/>
            <charset val="204"/>
          </rPr>
          <t>ТСЖ-Вилонова 6:</t>
        </r>
        <r>
          <rPr>
            <sz val="9"/>
            <color indexed="81"/>
            <rFont val="Tahoma"/>
            <family val="2"/>
            <charset val="204"/>
          </rPr>
          <t xml:space="preserve">
4539-таблички охранникам
</t>
        </r>
      </text>
    </comment>
    <comment ref="W237" authorId="1">
      <text>
        <r>
          <rPr>
            <b/>
            <sz val="9"/>
            <color indexed="81"/>
            <rFont val="Tahoma"/>
            <family val="2"/>
            <charset val="204"/>
          </rPr>
          <t>Светик:</t>
        </r>
        <r>
          <rPr>
            <sz val="9"/>
            <color indexed="81"/>
            <rFont val="Tahoma"/>
            <family val="2"/>
            <charset val="204"/>
          </rPr>
          <t xml:space="preserve">
ДОПОЛНИТЬ</t>
        </r>
      </text>
    </comment>
  </commentList>
</comments>
</file>

<file path=xl/sharedStrings.xml><?xml version="1.0" encoding="utf-8"?>
<sst xmlns="http://schemas.openxmlformats.org/spreadsheetml/2006/main" count="1195" uniqueCount="638">
  <si>
    <r>
      <t xml:space="preserve">ПЛАНОВЫЙ </t>
    </r>
    <r>
      <rPr>
        <b/>
        <sz val="12"/>
        <rFont val="Times New Roman"/>
        <family val="1"/>
        <charset val="204"/>
      </rPr>
      <t>перечень работ и услуг, выполненяемых  для</t>
    </r>
  </si>
  <si>
    <t>Цель деятельности по управлению МКД Вилонова 6:</t>
  </si>
  <si>
    <t xml:space="preserve">а) сохранение многоквартирного дома в состоянии, соответствующем установленным требованиям безопасности </t>
  </si>
  <si>
    <t>в) улучшение состояния многоквартирного дома или его отдельных элементов и повышение комфортности проживания в нем;</t>
  </si>
  <si>
    <t>г) обеспечение снижения расходов на оплату коммунальных услуг за счет проведения мероприятий по энергосбережению, ресурсосбережению и повышению энергетической эффективности;</t>
  </si>
  <si>
    <t>д)  реконструкция многоквартирного дома, приведение его в состояние, соответствующее современным требованиям безопасности, комфорта и энергоэффективности;</t>
  </si>
  <si>
    <t>е) повышение рыночной стоимости помещений собственников;</t>
  </si>
  <si>
    <t>ж) обеспечение максимальной выгоды от распоряжения земельным участком, входящим в состав общего имущества в многоквартирном доме;</t>
  </si>
  <si>
    <t>з) иные цели, определенные собственниками помещений в многоквартирном доме</t>
  </si>
  <si>
    <t>Цель деятельности по управлению МКД Вилонова 14а:</t>
  </si>
  <si>
    <r>
      <t xml:space="preserve">Расчетная площадь </t>
    </r>
    <r>
      <rPr>
        <b/>
        <u/>
        <sz val="10"/>
        <rFont val="Arial Cyr"/>
        <charset val="204"/>
      </rPr>
      <t>29633,79</t>
    </r>
    <r>
      <rPr>
        <u/>
        <sz val="10"/>
        <rFont val="Arial Cyr"/>
        <charset val="204"/>
      </rPr>
      <t xml:space="preserve"> м кв общей площади жилых помещений (ОПЖП);</t>
    </r>
    <r>
      <rPr>
        <b/>
        <u/>
        <sz val="10"/>
        <rFont val="Arial Cyr"/>
        <charset val="204"/>
      </rPr>
      <t xml:space="preserve"> 913,60</t>
    </r>
    <r>
      <rPr>
        <u/>
        <sz val="10"/>
        <rFont val="Arial Cyr"/>
        <charset val="204"/>
      </rPr>
      <t xml:space="preserve"> м кв общей площади нежилых помещений всех МКД</t>
    </r>
  </si>
  <si>
    <r>
      <t>Всего площадь</t>
    </r>
    <r>
      <rPr>
        <b/>
        <u/>
        <sz val="10"/>
        <rFont val="Arial Cyr"/>
        <charset val="204"/>
      </rPr>
      <t>:</t>
    </r>
    <r>
      <rPr>
        <b/>
        <sz val="10"/>
        <rFont val="Arial Cyr"/>
        <charset val="204"/>
      </rPr>
      <t xml:space="preserve"> 30547,93 м кв, в т.ч. по МКД Вил-6 - 15 334,13 м кв, по МКД Вил-14а - 15 213,8 м кв.</t>
    </r>
  </si>
  <si>
    <r>
      <t>Таб. I. Работы, производимые</t>
    </r>
    <r>
      <rPr>
        <b/>
        <sz val="12"/>
        <rFont val="Arial Cyr"/>
        <charset val="204"/>
      </rPr>
      <t xml:space="preserve"> за счет средств на содержание и техническое обслуживание, средств на охрану,домофоны,</t>
    </r>
  </si>
  <si>
    <t>видеосистемы, автопарковки:</t>
  </si>
  <si>
    <t>Тарифы:</t>
  </si>
  <si>
    <t xml:space="preserve">СБОР на ОЗЕЛЕНЕНИЕ </t>
  </si>
  <si>
    <t>183 287,58 р</t>
  </si>
  <si>
    <r>
      <t xml:space="preserve">Содержание ограждения с офисов  - </t>
    </r>
    <r>
      <rPr>
        <b/>
        <u/>
        <sz val="10"/>
        <rFont val="Arial Cyr"/>
        <charset val="204"/>
      </rPr>
      <t>13 723,68</t>
    </r>
    <r>
      <rPr>
        <u/>
        <sz val="10"/>
        <rFont val="Arial Cyr"/>
        <charset val="204"/>
      </rPr>
      <t xml:space="preserve"> руб.</t>
    </r>
  </si>
  <si>
    <t>Вывоз КГМ по заявлению - 0 руб.</t>
  </si>
  <si>
    <t>В том числе:</t>
  </si>
  <si>
    <t>92 004,78 р</t>
  </si>
  <si>
    <t>Озелен/год</t>
  </si>
  <si>
    <t>15 334.13*0,5*12=92004,78</t>
  </si>
  <si>
    <t>Со и ТО за март-дек</t>
  </si>
  <si>
    <t>домоф сист Чехомова В-6</t>
  </si>
  <si>
    <t>Вывоз КГМ по заявлению - 0,00 руб.</t>
  </si>
  <si>
    <t>100 руб/офис</t>
  </si>
  <si>
    <t>Оплата парковочного места в размере 1500,00 руб и вступительный взнос при заключении договора в размере 1850,00 руб.</t>
  </si>
  <si>
    <t>91 282,80 р</t>
  </si>
  <si>
    <t>15 213,8*0,5*12=91282,80</t>
  </si>
  <si>
    <t>Возмещение расходов ООО "Петруни" по содержанию видео системы 0,3*14779,2*12 мес=53 205,12 руб</t>
  </si>
  <si>
    <t>Отключение стояков 2 000,00 руб.</t>
  </si>
  <si>
    <t>Содержание ограждения с офисов (Вил -14а) . - 4 396,32 руб.</t>
  </si>
  <si>
    <r>
      <t>итого за 12 мес.  - 5 759 784,02 руб (</t>
    </r>
    <r>
      <rPr>
        <b/>
        <u/>
        <sz val="12"/>
        <rFont val="Arial Cyr"/>
        <charset val="204"/>
      </rPr>
      <t xml:space="preserve">29,45 руб/м кв - нов. Тариф № 3 </t>
    </r>
    <r>
      <rPr>
        <b/>
        <sz val="12"/>
        <rFont val="Arial Cyr"/>
        <charset val="204"/>
      </rPr>
      <t xml:space="preserve">(+ поступления за ОЗЕЛЕНЕНИЕ )= </t>
    </r>
    <r>
      <rPr>
        <b/>
        <sz val="12"/>
        <color rgb="FFFF0000"/>
        <rFont val="Arial Cyr"/>
        <charset val="204"/>
      </rPr>
      <t>5 851 066,82</t>
    </r>
    <r>
      <rPr>
        <b/>
        <u/>
        <sz val="12"/>
        <rFont val="Arial Cyr"/>
        <charset val="204"/>
      </rPr>
      <t xml:space="preserve"> руб/год</t>
    </r>
  </si>
  <si>
    <r>
      <t>итого за 12 мес.  - 5 432 687,32 руб.</t>
    </r>
    <r>
      <rPr>
        <b/>
        <u/>
        <sz val="12"/>
        <rFont val="Arial Cyr"/>
        <charset val="204"/>
      </rPr>
      <t xml:space="preserve">(27,3 р/м кв - нов. Тариф - № 1 </t>
    </r>
    <r>
      <rPr>
        <b/>
        <sz val="12"/>
        <rFont val="Arial Cyr"/>
        <charset val="204"/>
      </rPr>
      <t xml:space="preserve"> (+ поступления за ОЗЕЛЕНЕНИЕ )=  </t>
    </r>
    <r>
      <rPr>
        <b/>
        <sz val="12"/>
        <color rgb="FFFF0000"/>
        <rFont val="Arial Cyr"/>
        <charset val="204"/>
      </rPr>
      <t>5 523 970,12</t>
    </r>
    <r>
      <rPr>
        <b/>
        <u/>
        <sz val="12"/>
        <color rgb="FFFF0000"/>
        <rFont val="Arial Cyr"/>
        <charset val="204"/>
      </rPr>
      <t xml:space="preserve"> </t>
    </r>
    <r>
      <rPr>
        <b/>
        <u/>
        <sz val="12"/>
        <rFont val="Arial Cyr"/>
        <charset val="204"/>
      </rPr>
      <t>руб/год</t>
    </r>
  </si>
  <si>
    <r>
      <t>итого за 12 мес.  - 5 639 595,00 руб (</t>
    </r>
    <r>
      <rPr>
        <b/>
        <u/>
        <sz val="12"/>
        <rFont val="Arial Cyr"/>
        <charset val="204"/>
      </rPr>
      <t xml:space="preserve">28,66 руб/м кв - нов. Тариф № 2 </t>
    </r>
    <r>
      <rPr>
        <b/>
        <sz val="12"/>
        <rFont val="Arial Cyr"/>
        <charset val="204"/>
      </rPr>
      <t xml:space="preserve">(+ поступления за ОЗЕЛЕНЕНИЕ )= </t>
    </r>
    <r>
      <rPr>
        <b/>
        <sz val="12"/>
        <color rgb="FFFF0000"/>
        <rFont val="Arial Cyr"/>
        <charset val="204"/>
      </rPr>
      <t>5 730 877,8</t>
    </r>
    <r>
      <rPr>
        <b/>
        <u/>
        <sz val="12"/>
        <rFont val="Arial Cyr"/>
        <charset val="204"/>
      </rPr>
      <t xml:space="preserve"> руб/год</t>
    </r>
  </si>
  <si>
    <t>По рез-там</t>
  </si>
  <si>
    <t>ФАКТ</t>
  </si>
  <si>
    <t>10-ти мес.</t>
  </si>
  <si>
    <t>10 мес.</t>
  </si>
  <si>
    <t>План на 2016Г</t>
  </si>
  <si>
    <t>12 мес.</t>
  </si>
  <si>
    <t>тариф</t>
  </si>
  <si>
    <t>ДОХОД:</t>
  </si>
  <si>
    <t>Показатель</t>
  </si>
  <si>
    <t>Сумма всего</t>
  </si>
  <si>
    <t>Сумма по мкд</t>
  </si>
  <si>
    <t>Сумма по МКД</t>
  </si>
  <si>
    <t>в год,руб.</t>
  </si>
  <si>
    <t>Вил-6</t>
  </si>
  <si>
    <t>Вил-14а</t>
  </si>
  <si>
    <t>руб/кв.м.</t>
  </si>
  <si>
    <t>% к тарифу</t>
  </si>
  <si>
    <t>Вил.6</t>
  </si>
  <si>
    <t>1.Санитарное содержание и уборка придомовой территории, в т.ч.:</t>
  </si>
  <si>
    <t>Вил-14а-42325\мес.</t>
  </si>
  <si>
    <t>1.1.1. Уборка контейнерных, придомовой территории МКД, .покос газонов</t>
  </si>
  <si>
    <t>1.1.2. Уборка помещений подвалов, входов в подвал и приямков,козырьков подъездов, наружной ливневки</t>
  </si>
  <si>
    <t>1.1.3. Уборка снега и льда вручную и снегоуборочником (тротуары и  люки колодцев)</t>
  </si>
  <si>
    <t xml:space="preserve">1.1.4. Уборка и вывоз КГМ </t>
  </si>
  <si>
    <t>1.2.Вывоз и утилизация ТБО (Экосистема- В-6/Спецавтобаза В-14а)</t>
  </si>
  <si>
    <t>1.3.Утилизация ртутных ламп</t>
  </si>
  <si>
    <t>1.4. Уборка снега с автопроездов на территории МКД механизированным способом ( С1-им ВЫВОЗОМ СНЕГА)</t>
  </si>
  <si>
    <t>2.Санитарное содержание и уборка мест общего пользования, в т.ч.:</t>
  </si>
  <si>
    <r>
      <t>2.1*.*Санитарное обслуживание домов</t>
    </r>
    <r>
      <rPr>
        <u/>
        <sz val="10"/>
        <rFont val="Arial Cyr"/>
        <charset val="204"/>
      </rPr>
      <t xml:space="preserve"> по нормативу</t>
    </r>
    <r>
      <rPr>
        <sz val="10"/>
        <rFont val="Arial Cyr"/>
        <charset val="204"/>
      </rPr>
      <t>:</t>
    </r>
    <r>
      <rPr>
        <sz val="9"/>
        <rFont val="Arial Cyr"/>
        <charset val="204"/>
      </rPr>
      <t xml:space="preserve"> сухие и влажные уборки МОП, генуборки МОП</t>
    </r>
  </si>
  <si>
    <t>2.2.Расходные материалы для уборки МОП, спецодежда, мешки,перчатки</t>
  </si>
  <si>
    <t>ип</t>
  </si>
  <si>
    <t>2.4.Дератизация (1р\квартал)  и дезинфекция подвалов и МОП (2р\год)</t>
  </si>
  <si>
    <t>3. Инженерно-техническое обслуживание общего имущества, в т.ч.:</t>
  </si>
  <si>
    <t>3.1.Инженерно-техническое обслуживание домов, в том числе:</t>
  </si>
  <si>
    <t xml:space="preserve">плановые и внеплановые осмотры, оборудования, конструкций, устройств, помещений МКД и контроль  </t>
  </si>
  <si>
    <t xml:space="preserve">их состояния; контроль за ремонтными работами, аварийно-диспетчерское обслуживание, </t>
  </si>
  <si>
    <t>работа аварийной бригады.ведение техдокументации, подбор подрядчиков, контроль качества комуслуг</t>
  </si>
  <si>
    <t>текущее восстановление канализац вытяжек (фановая), исправности элементов внутреннего водостока</t>
  </si>
  <si>
    <t>3.3. Медобследования  категорий работнков с опасн условиями труда</t>
  </si>
  <si>
    <t>3.4.Лифты, в т.ч.:</t>
  </si>
  <si>
    <t xml:space="preserve">3.4.1.Содержание, техническое обслуживание и текущие ремонты лифтов </t>
  </si>
  <si>
    <t xml:space="preserve">3.4.1.1.Текущие ремонты лифтов </t>
  </si>
  <si>
    <t>3.4.2.Содержание штата диспетчеров, сигналы ЛДСС, аварийное обслуживание</t>
  </si>
  <si>
    <t>3.4.3. Ежегодное переосвидетельствование лифтов и частичное техосвидетельствование после ремонтов</t>
  </si>
  <si>
    <t xml:space="preserve">3.4.4.Страхование </t>
  </si>
  <si>
    <t>3.5.Отопление, ГВС и  ХВС, в т.ч.:</t>
  </si>
  <si>
    <t>3.5.1.Обслуживание  насосных станций ХВС и ГВС,автоматики  ГВС</t>
  </si>
  <si>
    <t>3.5.2.Снятие карточек с приборов УКУТ  (16 шт), текущая замена  оборудования</t>
  </si>
  <si>
    <r>
      <t xml:space="preserve">3.5.3.Ежегодная поверка узлов учета теплоэнергии </t>
    </r>
    <r>
      <rPr>
        <sz val="8"/>
        <rFont val="Arial Cyr"/>
        <charset val="204"/>
      </rPr>
      <t xml:space="preserve">(в т.ч: В-14а, В-6), </t>
    </r>
  </si>
  <si>
    <t>3.5.4.Периодическая подготовка отопительной системы к эксплуатации в зимних условиях,</t>
  </si>
  <si>
    <t>(промывка теплообменников Вилонова,6 и14а)</t>
  </si>
  <si>
    <t>3.5.5.Повторное пломбирование</t>
  </si>
  <si>
    <t>пломбир материал</t>
  </si>
  <si>
    <t xml:space="preserve">3.5.6.Испытания на прочность и плотность узлов ввода и системы отопления                   </t>
  </si>
  <si>
    <t>3.5.7.Аварийно-технические работы на системах ХВС и ГВС</t>
  </si>
  <si>
    <t>3.5.8.Сантехнические расходы, ТМЦ и инструмент</t>
  </si>
  <si>
    <t>3.5.9.Обслуживание ИПУ  ХВС, ГВС</t>
  </si>
  <si>
    <t>Контр ИПУ</t>
  </si>
  <si>
    <t>3.6. Иные  инженерные системы в общем имуществе, материалы на их текущее обслуживание, в т.ч.:</t>
  </si>
  <si>
    <r>
      <t xml:space="preserve">3.6.1.Электричество: расходы </t>
    </r>
    <r>
      <rPr>
        <sz val="10"/>
        <rFont val="Arial Cyr"/>
        <charset val="204"/>
      </rPr>
      <t xml:space="preserve">(лампы </t>
    </r>
    <r>
      <rPr>
        <u/>
        <sz val="10"/>
        <rFont val="Arial Cyr"/>
        <charset val="204"/>
      </rPr>
      <t>без энергосбережения</t>
    </r>
    <r>
      <rPr>
        <sz val="10"/>
        <rFont val="Arial Cyr"/>
        <charset val="204"/>
      </rPr>
      <t>, плафоны, автоматы и т.д)</t>
    </r>
  </si>
  <si>
    <t>(+Офис  и Склады)</t>
  </si>
  <si>
    <t>3.6.2.Автоматика противопожарной безопасности и автоматика дымоудаления В-6 и В-14а</t>
  </si>
  <si>
    <t>3.6.2.1 Обеспечение правил противопожарной безопасности(п.11(е) Правил №491</t>
  </si>
  <si>
    <r>
      <t xml:space="preserve">3.6.3. Система вентиляции и дымоудаления: пылеуборка вент каналов, </t>
    </r>
    <r>
      <rPr>
        <u/>
        <sz val="10"/>
        <rFont val="Arial Cyr"/>
        <charset val="204"/>
      </rPr>
      <t xml:space="preserve">оксанометрия 12эт секций            </t>
    </r>
  </si>
  <si>
    <t>3.6.4.*** Домофонная система (содержание и ремонт)</t>
  </si>
  <si>
    <t>3.6.5.*** Видеосистема МКД, автоматика ворот, калиток -Петруня</t>
  </si>
  <si>
    <t>3.6.6. Домофонные ключи для собственников</t>
  </si>
  <si>
    <t>целевое поступл</t>
  </si>
  <si>
    <t>3.6.7.Иные ТМЦ, доставки</t>
  </si>
  <si>
    <t>4.Текущие ремонты (работы и материалы) общедолевого имущества, благоустройство,  в т.ч.</t>
  </si>
  <si>
    <r>
      <t>4.1. Кровли:</t>
    </r>
    <r>
      <rPr>
        <sz val="10"/>
        <rFont val="Arial Cyr"/>
        <charset val="204"/>
      </rPr>
      <t xml:space="preserve"> устранение нарушений гидроизоляции, ремонт водоотводящих устройств</t>
    </r>
  </si>
  <si>
    <t>4.1.1.Очистка кровель и водоотводящих устройств от мусора, грязи, наледи</t>
  </si>
  <si>
    <t>за счет п. 3.1</t>
  </si>
  <si>
    <t>4.1.3.Ремонт пешеходных дорожек и переходных мостиков на кровлях и подвалах</t>
  </si>
  <si>
    <r>
      <t xml:space="preserve">4.2.Лестницы МОП: </t>
    </r>
    <r>
      <rPr>
        <sz val="10"/>
        <rFont val="Arial Cyr"/>
        <charset val="204"/>
      </rPr>
      <t>Окраска металических конструкций лестниц, устранение трещин, дыр</t>
    </r>
  </si>
  <si>
    <t xml:space="preserve">       сколов в ступенях и сопряжениях марш.плит с несущ. конструкц.</t>
  </si>
  <si>
    <r>
      <t>4.3.Двери:</t>
    </r>
    <r>
      <rPr>
        <sz val="10"/>
        <rFont val="Arial Cyr"/>
        <charset val="204"/>
      </rPr>
      <t xml:space="preserve">  ремонт (замена) доводчиков, пружин, ограничителей хода дверей, восстановление плотности</t>
    </r>
  </si>
  <si>
    <t>притворов входных дверей, дверей МОП</t>
  </si>
  <si>
    <t>установка ручек, шпингалетов и т.д.</t>
  </si>
  <si>
    <t>4.5. Благоустройство на территории:</t>
  </si>
  <si>
    <t>4.5.1.Ремонтные работы  по сварке и окраске  забора, ворот, калиток</t>
  </si>
  <si>
    <t>4.5.3.Работы по восстановлению, окраске элементов благоустройства (малых форм), в т.ч. их закуп</t>
  </si>
  <si>
    <t>4.5.4. Работы по озеленению, земля и песок</t>
  </si>
  <si>
    <t>ОТДЕЛЬНО?</t>
  </si>
  <si>
    <t>за счет ЦЕЛ. СБОРА</t>
  </si>
  <si>
    <t>доп</t>
  </si>
  <si>
    <t>5. Административные. Содержание собственной жилищно-комунальной службы:</t>
  </si>
  <si>
    <t>5.1.Заработная плата работников (без  учета налогов на ФОТ), в т.ч.</t>
  </si>
  <si>
    <t>5.1.2.Начисление б/листов за счет работодателя</t>
  </si>
  <si>
    <t>5.1.3.Начисление отпускных</t>
  </si>
  <si>
    <t>5.1.4.Пособие по сокращению штата</t>
  </si>
  <si>
    <t>5.1.5.Начисление компенсации за неиспользованный отпуск с налогами на ФОТ</t>
  </si>
  <si>
    <t>5.1.6.Налоги на ФОТ</t>
  </si>
  <si>
    <t>5.2.Информационные услуги, вт.ч.</t>
  </si>
  <si>
    <t>5.2.1.Консультационное обслуживание, семинары,учеба</t>
  </si>
  <si>
    <t>5.2.2.Информационное обслуживание - "Бонус", СКБ-КОНТУР, Диадок, "Управление многокв.домом", ""Упрощенка"</t>
  </si>
  <si>
    <t>113 820 р/ год ТСЖ</t>
  </si>
  <si>
    <t>5.2.3.Сайт ТСЖ: аббонет. Обслуживание, хостинг, продление регистрации на 2016 г., информ.стенды</t>
  </si>
  <si>
    <t>5.3.Содержание офисов домоуправления ТСЖ, в т.ч.</t>
  </si>
  <si>
    <t xml:space="preserve">5.3.1.Обслуживание бухгалтерских программ, ЭЦП, канцелярские  </t>
  </si>
  <si>
    <t xml:space="preserve"> расходы, ксерокопирование, иные офисные расходы</t>
  </si>
  <si>
    <t xml:space="preserve">5.3.2.Закуп, обслуживание и ремонт оргтехники                               </t>
  </si>
  <si>
    <t>6.Банковское обслуживание, в т.ч.</t>
  </si>
  <si>
    <t>6.1.Оплата   расчетного обслуживания</t>
  </si>
  <si>
    <t>6.2.Кассовое обслуживание(в т.ч. оплата за ведение счетов, выдачу ДС)</t>
  </si>
  <si>
    <t>Нов р\сч не учттён</t>
  </si>
  <si>
    <t>6.3.Услуги банка по ведению счета</t>
  </si>
  <si>
    <t>6.4.Услуги по открытию и ведению спецсчетов на капремонт</t>
  </si>
  <si>
    <t>7.Налоги, в т.ч.</t>
  </si>
  <si>
    <t xml:space="preserve">7.1.Налог при применении УСН </t>
  </si>
  <si>
    <t>8.Прочие расходы, в т.ч.</t>
  </si>
  <si>
    <t>8.2.Госпошлина (исковые суд)</t>
  </si>
  <si>
    <t>возвратное</t>
  </si>
  <si>
    <t>8.3.Юруслуги</t>
  </si>
  <si>
    <t>9.Автопарковка,В,6, в т.ч.</t>
  </si>
  <si>
    <t>9.1.Видеонаблюдение двора (ТМЦ, ремонтные работы), автоматика ворот</t>
  </si>
  <si>
    <t>9.2.Услуги охраны В-6</t>
  </si>
  <si>
    <t>9.3.Налоги ЕНВД (автопарковка)</t>
  </si>
  <si>
    <t>жж</t>
  </si>
  <si>
    <t>9.4 Ремонты парк барьеров и др., ТМЦ по ремонтов парковки</t>
  </si>
  <si>
    <t xml:space="preserve"> </t>
  </si>
  <si>
    <t>10.Автопарковка В 14а, в т.ч.</t>
  </si>
  <si>
    <t>10.1. Оплата услуг ООО "Тайгер" В-14а</t>
  </si>
  <si>
    <t>10.2. Пульты</t>
  </si>
  <si>
    <t>целевые оплаты с соб-ков</t>
  </si>
  <si>
    <t>11.Разметка парковки, бордюры</t>
  </si>
  <si>
    <t>450000 руб???</t>
  </si>
  <si>
    <t xml:space="preserve">профицит </t>
  </si>
  <si>
    <t>нов тариф</t>
  </si>
  <si>
    <t>24,68 + 5% = 25,92 руб\м кв</t>
  </si>
  <si>
    <r>
      <t xml:space="preserve"> производимые в целях комфортности проживания </t>
    </r>
    <r>
      <rPr>
        <b/>
        <u/>
        <sz val="12"/>
        <rFont val="Arial Cyr"/>
        <charset val="204"/>
      </rPr>
      <t>за счет средств дохода от сдачи в аренду ОИ:</t>
    </r>
  </si>
  <si>
    <t>руб.</t>
  </si>
  <si>
    <t>1.2.) МКД по Вилонова № 6:</t>
  </si>
  <si>
    <t>1.3.) МКД по Вилонова № 14а:</t>
  </si>
  <si>
    <t>4раз\нед-</t>
  </si>
  <si>
    <t>Подметание придомовой территории от снега</t>
  </si>
  <si>
    <t xml:space="preserve">2.) Банковский процент по ДЕПОЗИТу- </t>
  </si>
  <si>
    <t>2раз\мес-</t>
  </si>
  <si>
    <r>
      <t xml:space="preserve">уборка дублера Вил-14а </t>
    </r>
    <r>
      <rPr>
        <sz val="10"/>
        <rFont val="Arial Cyr"/>
        <charset val="204"/>
      </rPr>
      <t>-</t>
    </r>
  </si>
  <si>
    <t>ежедн</t>
  </si>
  <si>
    <t>уборка  территории у 2-эт пристроя</t>
  </si>
  <si>
    <t>МКД В.6</t>
  </si>
  <si>
    <t>МКД В.14а</t>
  </si>
  <si>
    <t>4 раз\мес-  сверхнормативная вывозка  КГМ с Вил-14а(норма - 4 раз\мес)</t>
  </si>
  <si>
    <t xml:space="preserve">ВСЕГО: </t>
  </si>
  <si>
    <t>Выполняется в болш. объемах, чем примечания  к Таб.1 (п. 2.1.)</t>
  </si>
  <si>
    <r>
      <t xml:space="preserve">2.**Санитарное обслуживание  </t>
    </r>
    <r>
      <rPr>
        <b/>
        <i/>
        <u/>
        <sz val="10"/>
        <rFont val="Arial Cyr"/>
        <charset val="204"/>
      </rPr>
      <t>территории домов сверх норматива</t>
    </r>
  </si>
  <si>
    <t>Более 3-х раз  в неделю (без снегопад)                                                          ВЫВОЗ снега машинами (расчет: 1раз\ сезон)</t>
  </si>
  <si>
    <t>0.0</t>
  </si>
  <si>
    <t>3.  ВЫВОЗ снега машинами (расчет: 1раз\ сезон)</t>
  </si>
  <si>
    <t>4.***Инженерно-техническое обслуживание сверх норматива</t>
  </si>
  <si>
    <t>из п. 3.1</t>
  </si>
  <si>
    <t>5. Благоустройство территорри двора (НОВОЕ, дополн)</t>
  </si>
  <si>
    <r>
      <t xml:space="preserve">     Вил 14а: от 20 т.р. До </t>
    </r>
    <r>
      <rPr>
        <b/>
        <u/>
        <sz val="9"/>
        <rFont val="Arial Cyr"/>
        <charset val="204"/>
      </rPr>
      <t>24,5 т.ру</t>
    </r>
    <r>
      <rPr>
        <b/>
        <sz val="9"/>
        <rFont val="Arial Cyr"/>
        <charset val="204"/>
      </rPr>
      <t>б\19 эт= 380 т.руб-465 т. Руб.)</t>
    </r>
  </si>
  <si>
    <t>6а. Замена тамбурн дверей на ПВХ-двери</t>
  </si>
  <si>
    <t>7.* Работа домоуправления за пределами норм  рабочей трудовой недели (9 час\мес)</t>
  </si>
  <si>
    <t>С налог на ФОТ</t>
  </si>
  <si>
    <t>8. Собственная паспортная служба ТСЖ (з\пл паспортиста с налогами)</t>
  </si>
  <si>
    <t>в т.ч.</t>
  </si>
  <si>
    <t>дефицит/профицит</t>
  </si>
  <si>
    <t>9 руб\м кв</t>
  </si>
  <si>
    <t xml:space="preserve">Плановый доход  по обоим домам (год) -  </t>
  </si>
  <si>
    <t>СМЕТА</t>
  </si>
  <si>
    <t>ИТОГО по МКД Вилонова 6 (за год):</t>
  </si>
  <si>
    <t>3.3.) МКД по Вилонова № 14а:</t>
  </si>
  <si>
    <t>ИТОГО по МКД Вилонова 14а (за год):</t>
  </si>
  <si>
    <t>Сумма всего по ТСЖ</t>
  </si>
  <si>
    <t>I\ Ремонт  инженерных систем электро-, тепло-, газо-, водоснабжения, водоотведения</t>
  </si>
  <si>
    <r>
      <t xml:space="preserve">1.  </t>
    </r>
    <r>
      <rPr>
        <b/>
        <u/>
        <sz val="12"/>
        <rFont val="Arial Cyr"/>
        <charset val="204"/>
      </rPr>
      <t>Электрооборудование</t>
    </r>
    <r>
      <rPr>
        <b/>
        <sz val="10"/>
        <rFont val="Arial Cyr"/>
        <charset val="204"/>
      </rPr>
      <t xml:space="preserve">: </t>
    </r>
    <r>
      <rPr>
        <sz val="10"/>
        <rFont val="Arial Cyr"/>
        <charset val="204"/>
      </rPr>
      <t/>
    </r>
  </si>
  <si>
    <t>1.1. Ремонтные работы</t>
  </si>
  <si>
    <t>Расходомер, Карат, оборудование</t>
  </si>
  <si>
    <t xml:space="preserve">1.2. Расширение и  модернизация объектов ОИ: Освещение СпортПлощадки, </t>
  </si>
  <si>
    <t>2925-монтаж розеток в подвале для свар.работ</t>
  </si>
  <si>
    <t xml:space="preserve">1.3. Замена свет-ков на энергосберегающие и т.п. </t>
  </si>
  <si>
    <t>1.3. Работа в Электрощитовых: замены ОДПУ, трансформаторов, контакторов и т.п.</t>
  </si>
  <si>
    <t>3500-поливочный водопровод</t>
  </si>
  <si>
    <t>2. Теплоснабжение:</t>
  </si>
  <si>
    <r>
      <t>2.1. ИТП</t>
    </r>
    <r>
      <rPr>
        <u/>
        <sz val="10"/>
        <rFont val="Arial Cyr"/>
        <charset val="204"/>
      </rPr>
      <t xml:space="preserve">: замена КИП (манометров, </t>
    </r>
    <r>
      <rPr>
        <u/>
        <sz val="10"/>
        <color rgb="FF0070C0"/>
        <rFont val="Arial Cyr"/>
        <charset val="204"/>
      </rPr>
      <t>термометров и</t>
    </r>
    <r>
      <rPr>
        <u/>
        <sz val="10"/>
        <rFont val="Arial Cyr"/>
        <charset val="204"/>
      </rPr>
      <t xml:space="preserve"> др)</t>
    </r>
  </si>
  <si>
    <r>
      <t xml:space="preserve">2.2. Узлы коммерческого учета теплоэнергии (УКУТ), </t>
    </r>
    <r>
      <rPr>
        <sz val="10"/>
        <rFont val="Arial Cyr"/>
        <charset val="204"/>
      </rPr>
      <t xml:space="preserve">реконструкция  УКУТ </t>
    </r>
    <r>
      <rPr>
        <sz val="8"/>
        <rFont val="Arial Cyr"/>
        <charset val="204"/>
      </rPr>
      <t xml:space="preserve">(п.3-2.  ст.17 № 127-ОЗ, ред. От 25.09.2017г.) </t>
    </r>
  </si>
  <si>
    <t xml:space="preserve">3.Система водоснабжения  ГВС, ХВС, в т.ч.: </t>
  </si>
  <si>
    <r>
      <rPr>
        <b/>
        <sz val="10"/>
        <color rgb="FF0070C0"/>
        <rFont val="Arial Cyr"/>
        <charset val="204"/>
      </rPr>
      <t>3.1.Замена труб водопроовода ГВС ,ХВС,</t>
    </r>
    <r>
      <rPr>
        <sz val="10"/>
        <rFont val="Arial Cyr"/>
        <charset val="204"/>
      </rPr>
      <t xml:space="preserve"> канализации,</t>
    </r>
  </si>
  <si>
    <t>3.2. Замена запорн арматуры, восстановление герметичности участков трубопроводов:</t>
  </si>
  <si>
    <t>4.Ремонт (замена) элементов водоотведения, в т.ч.:</t>
  </si>
  <si>
    <t>4.1.Реконструкция канализац. лежака в техподполье</t>
  </si>
  <si>
    <r>
      <t>5.Насосные:</t>
    </r>
    <r>
      <rPr>
        <u/>
        <sz val="10"/>
        <rFont val="Arial Cyr"/>
        <charset val="204"/>
      </rPr>
      <t xml:space="preserve"> </t>
    </r>
    <r>
      <rPr>
        <u/>
        <sz val="8"/>
        <rFont val="Arial Cyr"/>
        <charset val="204"/>
      </rPr>
      <t>ремонт подающих,циркуляционных и повысительных насосов, шкафов ШКАНЦ, замена их состав</t>
    </r>
  </si>
  <si>
    <t>5.1. Замена  запорн арматуры насосных станций ГВС (модернизация), торцевого уплотнения  центробежного насоса</t>
  </si>
  <si>
    <t>Ремонт козырьков</t>
  </si>
  <si>
    <t>II\ Ремонт или замену лифтового оборудования,</t>
  </si>
  <si>
    <t>III.2. Ремонт лифтовых шахт</t>
  </si>
  <si>
    <t xml:space="preserve">III\ Ремонт крыши
</t>
  </si>
  <si>
    <t>III.1. Ремонт мягкой кровли и кровельных конструкций входных групп</t>
  </si>
  <si>
    <t>Входн. Группы - 10 000 руб. \на под.</t>
  </si>
  <si>
    <t xml:space="preserve">III.2. Pемонт ЖБИ кровли и кровельных конструкций </t>
  </si>
  <si>
    <t>III.3. Ремонт кровельных сооружений, устройство выходов на кровлю.</t>
  </si>
  <si>
    <t>III.4.Усиление чердачных перекрытий многоквартирного дома (N 13-ОЗ от 17.02.2017);</t>
  </si>
  <si>
    <t>IV\ Ремонт подвальных помещений</t>
  </si>
  <si>
    <r>
      <t>11. Несущие конструкции:</t>
    </r>
    <r>
      <rPr>
        <u/>
        <sz val="10"/>
        <rFont val="Arial Cyr"/>
        <charset val="204"/>
      </rPr>
      <t xml:space="preserve"> </t>
    </r>
    <r>
      <rPr>
        <sz val="8"/>
        <rFont val="Arial Cyr"/>
        <charset val="204"/>
      </rPr>
      <t>профилакт. работы при выявлении нарушений в несущих конструкциях, не приводящих к поттере</t>
    </r>
  </si>
  <si>
    <t>несущих способностей (ГоСТ Р 5425702010)</t>
  </si>
  <si>
    <t>Герметизация швов</t>
  </si>
  <si>
    <t>V\ Ремонт Фасада:</t>
  </si>
  <si>
    <t>117396,84-з/п Иванова с налогами</t>
  </si>
  <si>
    <t>V.1. Ремонт сливов балконов, лоджий, козырьков,замена элементов крылец, козырьков</t>
  </si>
  <si>
    <t>под. 7 В-14а ступень</t>
  </si>
  <si>
    <t>V.3. Очистка фасадов от копоти и пыли</t>
  </si>
  <si>
    <t xml:space="preserve">V.4. Тепловизионное обследование фасадов </t>
  </si>
  <si>
    <r>
      <t>V.5. Утепление фасадов   (ст.17 № 127-ОЗ, ред. От 25.09.2017г.) либо (</t>
    </r>
    <r>
      <rPr>
        <b/>
        <sz val="10"/>
        <color rgb="FF0070C0"/>
        <rFont val="Arial Cyr"/>
        <charset val="204"/>
      </rPr>
      <t>межсекц Швов)</t>
    </r>
    <r>
      <rPr>
        <sz val="10"/>
        <rFont val="Arial Cyr"/>
        <charset val="204"/>
      </rPr>
      <t xml:space="preserve"> с оштукатуриванием и окрашиванием</t>
    </r>
  </si>
  <si>
    <t xml:space="preserve">V.6. Ремонт штукатурного слоя фасада с  частичной окраской (в т.ч. Огражд. Констр  Лоджий) </t>
  </si>
  <si>
    <t>V.7. Усиление ограждающих несущих конструкций многоквартирного дома (п.4  ст.17 № 127-ОЗ, ред. От 25.09.2017г.) ;</t>
  </si>
  <si>
    <t>VI\ Ремонт фундамента</t>
  </si>
  <si>
    <r>
      <rPr>
        <b/>
        <i/>
        <u/>
        <sz val="12"/>
        <rFont val="Arial Cyr"/>
        <charset val="204"/>
      </rPr>
      <t xml:space="preserve">VII\ Ремонт  противопожарных систем </t>
    </r>
    <r>
      <rPr>
        <sz val="12"/>
        <rFont val="Arial Cyr"/>
        <charset val="204"/>
      </rPr>
      <t>(</t>
    </r>
    <r>
      <rPr>
        <sz val="10"/>
        <rFont val="Arial Cyr"/>
        <charset val="204"/>
      </rPr>
      <t>подп. 3-1, N 13-ОЗ от 17.02.2017):</t>
    </r>
  </si>
  <si>
    <t>VII.1. Внутридомовых систем противопожарной автоматики и противодымной защиты;</t>
  </si>
  <si>
    <t>VII.2.Систем   внутреннего противопожарного водопровода</t>
  </si>
  <si>
    <t xml:space="preserve">VII.3. Система вентиляции и дымоудаления, в т.ч.   </t>
  </si>
  <si>
    <r>
      <t xml:space="preserve">VIII\ Проектная документация и строительный контроль </t>
    </r>
    <r>
      <rPr>
        <sz val="8"/>
        <rFont val="Arial Cyr"/>
        <charset val="204"/>
      </rPr>
      <t xml:space="preserve">(пп. 5-7 ст.17 № 127-ОЗ, ред. От 25.09.2017г.) </t>
    </r>
  </si>
  <si>
    <t>8.1. Разработка проектной документации на проведение капитального ремонта общего имущества в  МКД</t>
  </si>
  <si>
    <t>8.2. Проведение экспертизы проектной документации</t>
  </si>
  <si>
    <t xml:space="preserve">8.3. Услуги по строительному контролю, проводимому  при КапРемонте
</t>
  </si>
  <si>
    <t>Итого плановых  расходов по таблице за 2018 г</t>
  </si>
  <si>
    <t>(Входные группы, Лоджии)</t>
  </si>
  <si>
    <t xml:space="preserve">ИТОГО Сальдо за 2018г </t>
  </si>
  <si>
    <t>1 304 095.6</t>
  </si>
  <si>
    <t xml:space="preserve">ИТОГО Сальдо Спецсчета ФКР  на конец планового периода (на 31.12.2018г.) </t>
  </si>
  <si>
    <t>ЦЕЛЕВОЙ Сбор на ОЗЕЛЕНЕНИЕ (2018г.).</t>
  </si>
  <si>
    <t>Тариф:</t>
  </si>
  <si>
    <t>ЦЕЛЕВОЙ Сбор на ОЗЕЛЕНЕНИЕ (плановые поступления за 2018г.) :</t>
  </si>
  <si>
    <t>0,5 р/м кв</t>
  </si>
  <si>
    <t>Расходы:</t>
  </si>
  <si>
    <t>1. Изгородь из шиповника (на газонах от собак со стороны дублера)???</t>
  </si>
  <si>
    <t>2. Кустарник в живую изгородь (дублер -заполнить пустоты)???</t>
  </si>
  <si>
    <t>3.Летники (цветы)</t>
  </si>
  <si>
    <t xml:space="preserve">4. </t>
  </si>
  <si>
    <t>5. Работы по озеленению (истрачено в 2017 г.)</t>
  </si>
  <si>
    <t xml:space="preserve">ИТОГО: </t>
  </si>
  <si>
    <t>1 руб\м кв</t>
  </si>
  <si>
    <t>Вывоз ТБО офисам (Экосистема) -  00,00 руб.</t>
  </si>
  <si>
    <t>Содержание ограждения с офисов (Вил-6) . - 9 327,36 руб.</t>
  </si>
  <si>
    <t>Плата за охрану и содержание ограждения придомовой территории - 1,00*14670 м2*12=176 041,06</t>
  </si>
  <si>
    <t>Сумма всего по</t>
  </si>
  <si>
    <t>ТСЖ в год  (руб.)</t>
  </si>
  <si>
    <t>Доходы  плановые за год (руб.):</t>
  </si>
  <si>
    <r>
      <t xml:space="preserve">1.1.*Санитарное обслуживание  территории домов </t>
    </r>
    <r>
      <rPr>
        <i/>
        <u/>
        <sz val="10"/>
        <rFont val="Arial Cyr"/>
        <charset val="204"/>
      </rPr>
      <t>по нормативу</t>
    </r>
    <r>
      <rPr>
        <i/>
        <sz val="10"/>
        <rFont val="Arial Cyr"/>
        <charset val="204"/>
      </rPr>
      <t xml:space="preserve">, </t>
    </r>
    <r>
      <rPr>
        <b/>
        <i/>
        <u/>
        <sz val="10"/>
        <rFont val="Arial Cyr"/>
        <charset val="204"/>
      </rPr>
      <t>в том числе:</t>
    </r>
  </si>
  <si>
    <t>4.4 (1) Косметич. Ремонт Подъездов, в т.ч.</t>
  </si>
  <si>
    <t>4.4 (1).1</t>
  </si>
  <si>
    <t>4.4 (1).2</t>
  </si>
  <si>
    <t>4.4 (1).3</t>
  </si>
  <si>
    <t>1\2 на МКД</t>
  </si>
  <si>
    <t xml:space="preserve">4.5.5.2. Ремонтно-строит. Р-ты по приведению МОП и тер-рии в соответствие с  требованиями зак-ва </t>
  </si>
  <si>
    <t>2 совместных!!! р\сч в СКБ и СБ РФ</t>
  </si>
  <si>
    <t>ИТОГО доходов по ТСЖ</t>
  </si>
  <si>
    <t>Итого плановых  расходов по таблице № 2  на 2018 г</t>
  </si>
  <si>
    <t>ИТОГО  сальдо доходов и расходов по нормативным и ненормативным показателям (Таб № 1 + Таб № 2)</t>
  </si>
  <si>
    <r>
      <t xml:space="preserve">Таблица № 2. </t>
    </r>
    <r>
      <rPr>
        <b/>
        <sz val="12"/>
        <rFont val="Arial Cyr"/>
        <charset val="204"/>
      </rPr>
      <t xml:space="preserve"> Дополнительные (сверхнормативные) работы по содержанию и техническому обслуживание ОИ МКД</t>
    </r>
  </si>
  <si>
    <t xml:space="preserve">Таблица № 4 </t>
  </si>
  <si>
    <t>3.2.) МКД по Вилонова № 6:</t>
  </si>
  <si>
    <t xml:space="preserve">       Банковский процент  МКД по Вилонова № 6 (плановый за год):</t>
  </si>
  <si>
    <t>Планов доход за год:</t>
  </si>
  <si>
    <t xml:space="preserve">1.) фактический предварительный доход  за 12 мес.по МКД Вил-6 и МКД  Вил -14а- </t>
  </si>
  <si>
    <t>Иные   доходы:</t>
  </si>
  <si>
    <r>
      <t>Дефицит/</t>
    </r>
    <r>
      <rPr>
        <b/>
        <sz val="10"/>
        <color rgb="FF00B050"/>
        <rFont val="Arial Cyr"/>
        <charset val="204"/>
      </rPr>
      <t>профицит:</t>
    </r>
  </si>
  <si>
    <r>
      <t xml:space="preserve">12. </t>
    </r>
    <r>
      <rPr>
        <b/>
        <sz val="10"/>
        <rFont val="Arial Cyr"/>
        <charset val="204"/>
      </rPr>
      <t>Резерв сомнительных долгов</t>
    </r>
    <r>
      <rPr>
        <b/>
        <sz val="10"/>
        <color rgb="FFFF0000"/>
        <rFont val="Arial Cyr"/>
        <charset val="204"/>
      </rPr>
      <t xml:space="preserve"> (в размере  20% от средне/мсчн задолженности ???)</t>
    </r>
  </si>
  <si>
    <r>
      <t xml:space="preserve">4.5.5. Мероприятия по  формированию комфортной среды для МАЛОМОБИЛЬН групп населения, </t>
    </r>
    <r>
      <rPr>
        <b/>
        <u/>
        <sz val="10"/>
        <color rgb="FF0070C0"/>
        <rFont val="Arial Cyr"/>
        <charset val="204"/>
      </rPr>
      <t>в т.ч.:</t>
    </r>
  </si>
  <si>
    <r>
      <t xml:space="preserve">5.3.3.Закуп/изготовление </t>
    </r>
    <r>
      <rPr>
        <sz val="10"/>
        <color rgb="FF00B050"/>
        <rFont val="Arial Cyr"/>
        <charset val="204"/>
      </rPr>
      <t xml:space="preserve">мебели </t>
    </r>
    <r>
      <rPr>
        <sz val="10"/>
        <rFont val="Arial Cyr"/>
        <charset val="204"/>
      </rPr>
      <t>в офисы</t>
    </r>
    <r>
      <rPr>
        <sz val="10"/>
        <color rgb="FF00B050"/>
        <rFont val="Arial Cyr"/>
        <charset val="204"/>
      </rPr>
      <t xml:space="preserve">,склады, </t>
    </r>
    <r>
      <rPr>
        <sz val="10"/>
        <rFont val="Arial Cyr"/>
        <charset val="204"/>
      </rPr>
      <t>изготовление ключей, замена замков, домоф.офисн.Кондиц-ры</t>
    </r>
  </si>
  <si>
    <r>
      <t xml:space="preserve">Возмещение услуг охраны ЧОО по В-14а - </t>
    </r>
    <r>
      <rPr>
        <b/>
        <u/>
        <sz val="10"/>
        <rFont val="Arial Cyr"/>
        <charset val="204"/>
      </rPr>
      <t>0,00</t>
    </r>
  </si>
  <si>
    <r>
      <t xml:space="preserve">1.2.) </t>
    </r>
    <r>
      <rPr>
        <b/>
        <u/>
        <sz val="10"/>
        <rFont val="Arial Cyr"/>
        <charset val="204"/>
      </rPr>
      <t>МКД по Вилонова № 6:</t>
    </r>
  </si>
  <si>
    <r>
      <t xml:space="preserve">1.3.) </t>
    </r>
    <r>
      <rPr>
        <b/>
        <u/>
        <sz val="10"/>
        <rFont val="Arial Cyr"/>
        <charset val="204"/>
      </rPr>
      <t>МКД по Вилонова № 14а:</t>
    </r>
  </si>
  <si>
    <r>
      <t xml:space="preserve">1.1) фактический предварительный доход </t>
    </r>
    <r>
      <rPr>
        <b/>
        <u/>
        <sz val="10"/>
        <rFont val="Arial Cyr"/>
        <charset val="204"/>
      </rPr>
      <t>по всем домам, входящим в ТСЖ "Вилонова,6"</t>
    </r>
  </si>
  <si>
    <t>Доходы указаны УЖЕ с учет начисления по ОЗЕЛЕНЕН</t>
  </si>
  <si>
    <r>
      <t>4.4.Внутренняя отделка МОП:</t>
    </r>
    <r>
      <rPr>
        <sz val="10"/>
        <rFont val="Arial Cyr"/>
        <charset val="204"/>
      </rPr>
      <t xml:space="preserve"> мелкие </t>
    </r>
    <r>
      <rPr>
        <sz val="8"/>
        <color rgb="FFFF0000"/>
        <rFont val="Arial Cyr"/>
        <charset val="204"/>
      </rPr>
      <t>р</t>
    </r>
    <r>
      <rPr>
        <sz val="8"/>
        <color rgb="FF0070C0"/>
        <rFont val="Arial Cyr"/>
        <charset val="204"/>
      </rPr>
      <t>емонты стен, потолков, пола, окраска дверей и батарей МОП, з</t>
    </r>
    <r>
      <rPr>
        <sz val="8"/>
        <rFont val="Arial Cyr"/>
        <charset val="204"/>
      </rPr>
      <t>амена стекол,замков МОП</t>
    </r>
  </si>
  <si>
    <t>ремонты стен, потолков, пола, окраска дверей и батарей МОП</t>
  </si>
  <si>
    <r>
      <t>6. Косметич. Ремонт п</t>
    </r>
    <r>
      <rPr>
        <u/>
        <sz val="10"/>
        <rFont val="Arial Cyr"/>
        <charset val="204"/>
      </rPr>
      <t>од.№6-7 (17эт)</t>
    </r>
  </si>
  <si>
    <r>
      <t xml:space="preserve">Таблица №3. </t>
    </r>
    <r>
      <rPr>
        <b/>
        <sz val="12"/>
        <rFont val="Arial Cyr"/>
        <charset val="204"/>
      </rPr>
      <t xml:space="preserve"> Работы, производимые  за счет средств капремонта, размещенных на спецсчёте ФКР (фонд капитального ремонта) МКД, в</t>
    </r>
    <r>
      <rPr>
        <b/>
        <u/>
        <sz val="12"/>
        <rFont val="Arial Cyr"/>
        <charset val="204"/>
      </rPr>
      <t xml:space="preserve"> т.ч.  работы по </t>
    </r>
    <r>
      <rPr>
        <b/>
        <sz val="12"/>
        <rFont val="Arial Cyr"/>
        <charset val="204"/>
      </rPr>
      <t>установке ОДПУ .</t>
    </r>
  </si>
  <si>
    <r>
      <t xml:space="preserve">1.*Санитарное обслуживание </t>
    </r>
    <r>
      <rPr>
        <b/>
        <i/>
        <u/>
        <sz val="10"/>
        <rFont val="Arial Cyr"/>
        <charset val="204"/>
      </rPr>
      <t>зданий домов</t>
    </r>
    <r>
      <rPr>
        <b/>
        <i/>
        <sz val="10"/>
        <rFont val="Arial Cyr"/>
        <charset val="204"/>
      </rPr>
      <t xml:space="preserve"> </t>
    </r>
    <r>
      <rPr>
        <b/>
        <i/>
        <u/>
        <sz val="10"/>
        <rFont val="Arial Cyr"/>
        <charset val="204"/>
      </rPr>
      <t xml:space="preserve">сверх норматива </t>
    </r>
    <r>
      <rPr>
        <i/>
        <u/>
        <sz val="10"/>
        <rFont val="Arial Cyr"/>
        <charset val="204"/>
      </rPr>
      <t xml:space="preserve">(ежедневн </t>
    </r>
    <r>
      <rPr>
        <i/>
        <sz val="9"/>
        <rFont val="Arial Cyr"/>
        <charset val="204"/>
      </rPr>
      <t>влажн. уборки МОП, уборка дублера В-14а)</t>
    </r>
  </si>
  <si>
    <t>ВНИМАНИЕ! Работы с использованием средств Спецсчёта ФКР только по решению ОС собственников МКД (2\3 голосов от голосов всех собственников).</t>
  </si>
  <si>
    <t>1.1.5. Расходные материалы для уборки (расх.тер-ии,благоустройства)</t>
  </si>
  <si>
    <t>II.1. Признанного непригодным для эксплуатации  с момента окончания срока, установленного для ремонта</t>
  </si>
  <si>
    <t>3.2. Замена стальн. стояков ГВС на полипропиленовые ( вт.ч./или обратн. Стояков ГСВ) ГВС</t>
  </si>
  <si>
    <r>
      <t xml:space="preserve">V.2. </t>
    </r>
    <r>
      <rPr>
        <sz val="10"/>
        <color rgb="FF0070C0"/>
        <rFont val="Arial Cyr"/>
        <charset val="204"/>
      </rPr>
      <t>Ремонт отделки и окраска  фасадов (ВЫШЕ 1-го эт, местами ),</t>
    </r>
    <r>
      <rPr>
        <sz val="10"/>
        <rFont val="Arial Cyr"/>
        <charset val="204"/>
      </rPr>
      <t xml:space="preserve"> их элементов, наружных водостоков</t>
    </r>
  </si>
  <si>
    <t>1 000 000.00</t>
  </si>
  <si>
    <t>1.</t>
  </si>
  <si>
    <t>2.</t>
  </si>
  <si>
    <t>3.</t>
  </si>
  <si>
    <t>обеспечения   надлежащего  содержания общего имущества в МКД  в  2019 г.</t>
  </si>
  <si>
    <t>(СМЕТА  на 2019г.)</t>
  </si>
  <si>
    <t>Отключение стояков 2 500,00 руб.</t>
  </si>
  <si>
    <t>61 парк мест - 1500*61*12= 1 098 000,00 руб.</t>
  </si>
  <si>
    <t>Содержание системы допуска во двор В-14а  57,00руб*105 пульт*12 мес.руб.= 71 820,00 руб.</t>
  </si>
  <si>
    <t>Пени за год -10 000,00 руб.</t>
  </si>
  <si>
    <t>Вывоз ТБО  офисам (Спецавтобаза) -  руб.</t>
  </si>
  <si>
    <t>Возмещение расходов ООО "Петруни" по содержанию видео и домофонной системы *12 мес=106 404,00 руб</t>
  </si>
  <si>
    <t>Возмещение расходов ООО "Петруни" по содержанию домофонной системы *12 мес=116 280,00 руб</t>
  </si>
  <si>
    <r>
      <t xml:space="preserve">3.1.) Остаток денежных средств на </t>
    </r>
    <r>
      <rPr>
        <b/>
        <u/>
        <sz val="10"/>
        <rFont val="Arial Cyr"/>
        <charset val="204"/>
      </rPr>
      <t xml:space="preserve">Спец.счете Фонда Капитального ремонта  </t>
    </r>
    <r>
      <rPr>
        <b/>
        <sz val="10"/>
        <rFont val="Arial Cyr"/>
        <charset val="204"/>
      </rPr>
      <t>на 01.10.2018 г. - 11 803 769,44 руб.</t>
    </r>
  </si>
  <si>
    <t>Перерасход из средств , собранных по целевому сбору на озеленение за 2018 г.</t>
  </si>
  <si>
    <r>
      <t>Возмещение расходов ООО "Петруни" по содержанию домофонной системы *12 мес=</t>
    </r>
    <r>
      <rPr>
        <b/>
        <u/>
        <sz val="10"/>
        <rFont val="Arial Cyr"/>
        <charset val="204"/>
      </rPr>
      <t xml:space="preserve"> 222 684,00</t>
    </r>
    <r>
      <rPr>
        <u/>
        <sz val="10"/>
        <rFont val="Arial Cyr"/>
        <charset val="204"/>
      </rPr>
      <t>руб</t>
    </r>
  </si>
  <si>
    <r>
      <t xml:space="preserve">61 парк мест -  </t>
    </r>
    <r>
      <rPr>
        <b/>
        <u/>
        <sz val="10"/>
        <rFont val="Arial Cyr"/>
        <charset val="204"/>
      </rPr>
      <t xml:space="preserve">1 098 000,00 </t>
    </r>
    <r>
      <rPr>
        <u/>
        <sz val="10"/>
        <rFont val="Arial Cyr"/>
        <charset val="204"/>
      </rPr>
      <t>руб.</t>
    </r>
  </si>
  <si>
    <r>
      <t xml:space="preserve">Вывоз ТБО офисам -  </t>
    </r>
    <r>
      <rPr>
        <b/>
        <u/>
        <sz val="10"/>
        <rFont val="Arial Cyr"/>
        <charset val="204"/>
      </rPr>
      <t>0</t>
    </r>
  </si>
  <si>
    <t>Обслуживание ИПУ  - 500,00 руб.</t>
  </si>
  <si>
    <t>Если будет Вил-6. По протоколу по декабрь 2018 г.</t>
  </si>
  <si>
    <r>
      <t>П</t>
    </r>
    <r>
      <rPr>
        <u/>
        <sz val="10"/>
        <color rgb="FFFF0000"/>
        <rFont val="Arial Cyr"/>
        <charset val="204"/>
      </rPr>
      <t>РОВЕРИТЬ от ФАКТИЧ  опла</t>
    </r>
    <r>
      <rPr>
        <u/>
        <sz val="10"/>
        <rFont val="Arial Cyr"/>
        <charset val="204"/>
      </rPr>
      <t>ты</t>
    </r>
  </si>
  <si>
    <t>2018 г.-291 217,18</t>
  </si>
  <si>
    <t>2018 г.-2 865 451,08, увеличение на 77 207,04 руб.</t>
  </si>
  <si>
    <t>В 2018 г. -8000,00 руб на В.6</t>
  </si>
  <si>
    <t>В.6</t>
  </si>
  <si>
    <t>В.14а</t>
  </si>
  <si>
    <t>Если будет В.6</t>
  </si>
  <si>
    <t>Расходомер ПРЭМ с р/сч</t>
  </si>
  <si>
    <t>Замена трансформаторов с р/сч</t>
  </si>
  <si>
    <t>Доводчики</t>
  </si>
  <si>
    <t>6800,00- торфогрунт на альп.  горку на В.6  в октябре</t>
  </si>
  <si>
    <t>, по окраске ливневых желобов</t>
  </si>
  <si>
    <t>5.1.1. (1) Урал коэффициент = ????</t>
  </si>
  <si>
    <t>5.1.1.Начисление з/платы сотрудникам (ФОТ при 41.5 час и премии *12 мес) -(Сумма зп в Таб №2 (п.7,8))</t>
  </si>
  <si>
    <t>ДОЛГИ СОБ-Ков по МКД</t>
  </si>
  <si>
    <t xml:space="preserve"> УСРЕДНЕН сумма за вывоз снега в МКД в 2018-2017гг</t>
  </si>
  <si>
    <t>ПОВЫШ сумм, т.к. Д.Б, ЭКСПЕРТИЗЫ: 30000 -Огражд констр кровли и  пож.лестн + 64000 (Кач-во воды в СЭС) НО ПО СЭС в 2018г -ПОЛНАЯ ЭКОНОМИЯ</t>
  </si>
  <si>
    <t>На 2 года до 12.2020 г., (в Январь-феврале 2019г. Будет  2 новых сотрудника - СМЕНА КАДРОВ)</t>
  </si>
  <si>
    <t>Гл. бух. -  КНТР СУММ, т.к. Сейчас у В-14а  оплата  Д.Б. меньше, чем у В-6</t>
  </si>
  <si>
    <t>КУПИТЬ ОГНЕТУШИТЕЛИ  (8-10 шт) и др.</t>
  </si>
  <si>
    <t>ГЛ. БУХ: ДОБАВИТЬ ТОЧНЫЕ и ОДНОЗНАЧНЫЕ ПРИМЕЧАНИЯ РАСПРЕДЕЛЕНИЯ ФОТ из ШТАТ расписания  (ПОСТРОЧНО) С учетом индексации и повышения налогов на ФОТ  с 20,2% до 30,2%</t>
  </si>
  <si>
    <r>
      <rPr>
        <sz val="10"/>
        <color rgb="FFFF0000"/>
        <rFont val="Arial Cyr"/>
        <charset val="204"/>
      </rPr>
      <t>РАСШИФРОВАТЬ</t>
    </r>
    <r>
      <rPr>
        <sz val="10"/>
        <rFont val="Arial Cyr"/>
        <charset val="204"/>
      </rPr>
      <t xml:space="preserve"> </t>
    </r>
  </si>
  <si>
    <t>8.1.Аудиторская проверка за 2018 г</t>
  </si>
  <si>
    <t>4.5.2.Ремонтные работы по  благоустройству (окраска МОП, подъездов или МОДЕРНИЗАЦИЯ Благоустройва в Парков зоне МКД)</t>
  </si>
  <si>
    <t xml:space="preserve">ДОБАВИТЬ </t>
  </si>
  <si>
    <t>ОСТАТКИ ДЕН СР-в за каждым МКД (РАСЧЕТН с 2018г.)</t>
  </si>
  <si>
    <t>Рассчитывая   результат за 9 Мес 2018г и предварит за 2018г, вы  вывели остаток съэкономленных средств по каждому МКД</t>
  </si>
  <si>
    <t xml:space="preserve">ГЛ. БУХ-ру: проверить и исправить + дать ДОКЛАДНУЮ по  ПЛАН доходам по каждому МКД на 2019г (с Разшифр по источникам поступления (На основе 2018г.- выбывающие орг-ции) </t>
  </si>
  <si>
    <r>
      <t xml:space="preserve">       Банковский процент  МКД по Вилонова № 6, </t>
    </r>
    <r>
      <rPr>
        <u/>
        <sz val="10"/>
        <color rgb="FFFF0000"/>
        <rFont val="Arial Cyr"/>
        <charset val="204"/>
      </rPr>
      <t xml:space="preserve">депозит  ФКР </t>
    </r>
    <r>
      <rPr>
        <sz val="10"/>
        <color rgb="FFFF0000"/>
        <rFont val="Arial Cyr"/>
        <charset val="204"/>
      </rPr>
      <t>(планов. 2018г. *2 р/за год):</t>
    </r>
  </si>
  <si>
    <t xml:space="preserve">       Банковский процент  МКД по Вилонова № 14а (плановый за год):</t>
  </si>
  <si>
    <r>
      <t xml:space="preserve">       Банковский процент  МКД по Вилонова № 14а, </t>
    </r>
    <r>
      <rPr>
        <u/>
        <sz val="10"/>
        <color rgb="FFFF0000"/>
        <rFont val="Arial Cyr"/>
        <charset val="204"/>
      </rPr>
      <t xml:space="preserve">депозит  ФКР </t>
    </r>
    <r>
      <rPr>
        <sz val="10"/>
        <color rgb="FFFF0000"/>
        <rFont val="Arial Cyr"/>
        <charset val="204"/>
      </rPr>
      <t>(планов. 2018г. *2 р/за год):</t>
    </r>
  </si>
  <si>
    <t>Гл. Бух-ру: БЫЛА ли проверка????</t>
  </si>
  <si>
    <t xml:space="preserve">Доп. Оплаты за снятие показаний ИПУ 2 раза в год, в 2018 г. не было </t>
  </si>
  <si>
    <t>4800,00 ремонт ворот, 35000., привод для ворот</t>
  </si>
  <si>
    <t xml:space="preserve">Мебель:стеллаж, мет.шкаф, 2 столешницы, ножка, полки, к омплектующие </t>
  </si>
  <si>
    <t>25200-МФУ в бухгалтерию, установка ПО,перенос роутера-3900, 6780-монитор , 15330-сист.блок помощнику руковод., 4000-картриджи,3499-внешний диск,4530-монитор инженера, 6850-смартфон, 12330-заправка и ремонт картриджа,8770-ремонт МФУ, принтера, оргтех</t>
  </si>
  <si>
    <t xml:space="preserve"> 12 мес.2018 г.</t>
  </si>
  <si>
    <t>В.14а-циркуляционный насос -8229,00 руб., В.6-36000,00 ПРЭМ</t>
  </si>
  <si>
    <t xml:space="preserve">Очистка чердака </t>
  </si>
  <si>
    <t>267826,63 руб. В.6 дорожки, 46473,36-устройство мини-парка</t>
  </si>
  <si>
    <t>2018 г.-143 422,38, увеличение на  19 524,74 руб.</t>
  </si>
  <si>
    <t xml:space="preserve">         В.14-замена трансформаторов тока - 64706,40</t>
  </si>
  <si>
    <t>12 МЕСЯЦ. -44882,00</t>
  </si>
  <si>
    <t>27,10р/м кв</t>
  </si>
  <si>
    <t>27,95р/м кв</t>
  </si>
  <si>
    <t>15 334,13*27,10*12=4 986 659,08 руб.</t>
  </si>
  <si>
    <t>15 213,80*27,95*12=5 102 708,52 руб.</t>
  </si>
  <si>
    <t>Пени за год -15 000,00 руб.</t>
  </si>
  <si>
    <t>СО  и ТО и 2-х эт пристроя - 5 102 708,52 руб+ 128 640,00= 5 231 348,52 руб.</t>
  </si>
  <si>
    <r>
      <t>План. Начисления по МКД Вил-14а - ИТОГО  за 12 мес.  - 5 494 549,96 руб (</t>
    </r>
    <r>
      <rPr>
        <b/>
        <u/>
        <sz val="12"/>
        <rFont val="Arial Cyr"/>
        <charset val="204"/>
      </rPr>
      <t xml:space="preserve">27,95 руб/м кв - нов. Тариф № 2 </t>
    </r>
    <r>
      <rPr>
        <b/>
        <sz val="12"/>
        <rFont val="Arial Cyr"/>
        <charset val="204"/>
      </rPr>
      <t xml:space="preserve">(+ поступления за ОЗЕЛЕНЕНИЕ )= </t>
    </r>
    <r>
      <rPr>
        <b/>
        <u/>
        <sz val="12"/>
        <rFont val="Arial Cyr"/>
        <charset val="204"/>
      </rPr>
      <t>5 585 832,76 руб/год</t>
    </r>
  </si>
  <si>
    <r>
      <t xml:space="preserve">План. Начиления по МКД Вил 6 - ИТОГО за 12 мес.  - </t>
    </r>
    <r>
      <rPr>
        <b/>
        <u/>
        <sz val="12"/>
        <rFont val="Arial Cyr"/>
        <charset val="204"/>
      </rPr>
      <t>6 389 431,50 руб.</t>
    </r>
    <r>
      <rPr>
        <b/>
        <sz val="12"/>
        <rFont val="Arial Cyr"/>
        <charset val="204"/>
      </rPr>
      <t xml:space="preserve"> (</t>
    </r>
    <r>
      <rPr>
        <b/>
        <u/>
        <sz val="12"/>
        <rFont val="Arial Cyr"/>
        <charset val="204"/>
      </rPr>
      <t xml:space="preserve">27,1 руб/м кв - нов. Тариф № 2 </t>
    </r>
    <r>
      <rPr>
        <b/>
        <sz val="12"/>
        <color rgb="FFFF0000"/>
        <rFont val="Arial Cyr"/>
        <charset val="204"/>
      </rPr>
      <t xml:space="preserve">(+ поступления за ОЗЕЛЕНЕНИЕ )= </t>
    </r>
    <r>
      <rPr>
        <b/>
        <u/>
        <sz val="12"/>
        <color rgb="FFFF0000"/>
        <rFont val="Arial Cyr"/>
        <charset val="204"/>
      </rPr>
      <t>6 481 436,28 руб/год</t>
    </r>
  </si>
  <si>
    <r>
      <t>СО  и ТО 2-х эт пристроя - 10 089 367,60  руб+ 128 640,00=</t>
    </r>
    <r>
      <rPr>
        <b/>
        <u/>
        <sz val="10"/>
        <rFont val="Arial Cyr"/>
        <charset val="204"/>
      </rPr>
      <t>10 218 007,60 руб.</t>
    </r>
  </si>
  <si>
    <r>
      <t xml:space="preserve">Возмещение расходов ООО "Петруни" по содержанию видеосистемы 0,30*14779,20 м2*12 мес= </t>
    </r>
    <r>
      <rPr>
        <b/>
        <u/>
        <sz val="10"/>
        <rFont val="Arial Cyr"/>
        <charset val="204"/>
      </rPr>
      <t>53 205,12 руб</t>
    </r>
  </si>
  <si>
    <r>
      <t>Плата за охрану придомовой территории В-6 - 1,00*14670*12=</t>
    </r>
    <r>
      <rPr>
        <b/>
        <u/>
        <sz val="10"/>
        <rFont val="Arial Cyr"/>
        <charset val="204"/>
      </rPr>
      <t>176 041,06 руб.</t>
    </r>
  </si>
  <si>
    <r>
      <t xml:space="preserve">Отключение стояков - </t>
    </r>
    <r>
      <rPr>
        <b/>
        <u/>
        <sz val="10"/>
        <rFont val="Arial Cyr"/>
        <charset val="204"/>
      </rPr>
      <t>4 500,00  руб.</t>
    </r>
  </si>
  <si>
    <r>
      <t>Содержание системы допуска во двор В-14а  57,00руб*105 пульт*12 мес.руб.=</t>
    </r>
    <r>
      <rPr>
        <b/>
        <u/>
        <sz val="10"/>
        <rFont val="Arial Cyr"/>
        <charset val="204"/>
      </rPr>
      <t>71 820,00 руб.</t>
    </r>
  </si>
  <si>
    <r>
      <t xml:space="preserve">Обслуживание ИПУ (повт пломбир) - </t>
    </r>
    <r>
      <rPr>
        <b/>
        <u/>
        <sz val="10"/>
        <rFont val="Arial Cyr"/>
        <charset val="204"/>
      </rPr>
      <t>1000,00 руб.</t>
    </r>
  </si>
  <si>
    <r>
      <t>Пени за год -  2</t>
    </r>
    <r>
      <rPr>
        <b/>
        <u/>
        <sz val="10"/>
        <rFont val="Arial Cyr"/>
        <charset val="204"/>
      </rPr>
      <t>5 000,00 руб.</t>
    </r>
  </si>
  <si>
    <t>План. Начисления по ТСЖ "Вилонова 6"- ИТОГО  за 12 мес.  -  11 883 981,46 руб (+поступления за ОЗЕЛЕНЕНИЕ)  12 067 269,04  руб./год</t>
  </si>
  <si>
    <t xml:space="preserve">9,36 руб. *15334,13 м кв * 12 мес = </t>
  </si>
  <si>
    <t xml:space="preserve">9,36 руб. *15213,8 м кв * 12 мес = </t>
  </si>
  <si>
    <t>12 мес.2018 г.</t>
  </si>
  <si>
    <t>129 мес.2018 г.</t>
  </si>
  <si>
    <t>Сальдо на 01.01.19г.:</t>
  </si>
  <si>
    <t>Оставлено пр планам 2018 г.</t>
  </si>
  <si>
    <t>ВЫВОДЫ: по итогам 2018 г на 01.01.2019 г. у МКД В.6 образовался профицит в размере 735 078,98 руб., у МКД В.14а профицит в размере 3 258,79 руб.</t>
  </si>
  <si>
    <t>ТАРИФ: 27,10 р\м кв</t>
  </si>
  <si>
    <t>ТАРИФ: 27,95 р\м кв</t>
  </si>
  <si>
    <t>Дефицит  плюс остатки денежных средств на счетах</t>
  </si>
  <si>
    <t>3.2.3. Экспертиза качества воды</t>
  </si>
  <si>
    <t>???</t>
  </si>
  <si>
    <t>Светлана Валерьевна планировала по пункту 3.2 -188000,00 руб.</t>
  </si>
  <si>
    <t>8.6.Прочие</t>
  </si>
  <si>
    <t>8.4. Штраф МЧС</t>
  </si>
  <si>
    <t>СО и ТО /год</t>
  </si>
  <si>
    <t>СО и ТО/год</t>
  </si>
  <si>
    <t>Остатки денежных средств на р/сч</t>
  </si>
  <si>
    <t>2018г.-637 740,68 руб., увеличение на 333 695,14 руб., т.к. страховые взносы на ФОТ увеличились в 1,5 раза</t>
  </si>
  <si>
    <t>5.3.4. Закуп и обслуживание фискального принтера (кассового аппарата)</t>
  </si>
  <si>
    <t>5.3.5.Почтовые расходы, подписка</t>
  </si>
  <si>
    <t>5.3.6.Транспортные расходы: поездки сотрудников на общ транспорте</t>
  </si>
  <si>
    <t>5.3.7.Интернет и услуги телефонной связи</t>
  </si>
  <si>
    <r>
      <t xml:space="preserve">5.3.8.Ремонты и устройство  подсобных помещений: </t>
    </r>
    <r>
      <rPr>
        <sz val="10"/>
        <color rgb="FF00B050"/>
        <rFont val="Arial Cyr"/>
        <charset val="204"/>
      </rPr>
      <t>складов,</t>
    </r>
    <r>
      <rPr>
        <sz val="10"/>
        <rFont val="Arial Cyr"/>
        <charset val="204"/>
      </rPr>
      <t xml:space="preserve"> бытовок, мастерских.</t>
    </r>
  </si>
  <si>
    <r>
      <t xml:space="preserve">3.2.*** Плановые обязательн обследования, экспертизы </t>
    </r>
    <r>
      <rPr>
        <u/>
        <sz val="8"/>
        <color indexed="8"/>
        <rFont val="Arial Cyr"/>
        <charset val="204"/>
      </rPr>
      <t>(кроме лифтов  и   капремонтн обследований), в т.ч.:</t>
    </r>
  </si>
  <si>
    <t>3.2.1. Экспертиза ограждения кровли и пожаных лестниц</t>
  </si>
  <si>
    <t xml:space="preserve">3.2.2. Экспертиза сопротивления  изоляции  и молниезащиты </t>
  </si>
  <si>
    <t>за счет ФКР</t>
  </si>
  <si>
    <r>
      <t xml:space="preserve">4.1.2.Восстановление  защитного </t>
    </r>
    <r>
      <rPr>
        <sz val="9"/>
        <color rgb="FFFF0000"/>
        <rFont val="Arial Cyr"/>
        <charset val="204"/>
      </rPr>
      <t>окрасочного слоя метал. элементов кровли антикорроз составами</t>
    </r>
  </si>
  <si>
    <t>восстановление  защитного окрасочного слоя заполнения проемов на кровле (метал. дверей  и жалюзи) в техпомещениях  антикорроз составами</t>
  </si>
  <si>
    <t>ПОД КАЧЕЛИ???</t>
  </si>
  <si>
    <r>
      <t xml:space="preserve">4,5.5.1 Нанесение разметки, </t>
    </r>
    <r>
      <rPr>
        <sz val="10"/>
        <color rgb="FFFF0000"/>
        <rFont val="Arial Cyr"/>
        <charset val="204"/>
      </rPr>
      <t>противоскозьзящ покрытий</t>
    </r>
    <r>
      <rPr>
        <sz val="10"/>
        <rFont val="Arial Cyr"/>
        <charset val="204"/>
      </rPr>
      <t>,установка знаков</t>
    </r>
  </si>
  <si>
    <t>Сделать СПРАВОЧНО без учета в расчет тарифа</t>
  </si>
  <si>
    <t>Пересчитать, уменьшив по п.5.1.5 (может вынести в отд строку, но не брать в расчет тарифа?)</t>
  </si>
  <si>
    <t>Шихова -104 дня, Онучина-30 дней, Грязных- 14 дней, Семерикова-2дня, 2018г.-369551,61 руб. больше на 81855,38 руб.</t>
  </si>
  <si>
    <t>2018 г.-291 680,96 руб., меньше на 17664,84, (по 31 дн.ВСЕГО, в т.ч. - 3 дня доп.отпуска вместо 5)</t>
  </si>
  <si>
    <t>5.3.2 (1) Закуп программы учета для АДС с записью тел. Разговор + Учет АД заявок + Битрикс 24?</t>
  </si>
  <si>
    <t>АРХИВ оборудовать дверями и в\камер!!!</t>
  </si>
  <si>
    <t>8.5. Экпертиза ГИС ЖКХ</t>
  </si>
  <si>
    <t>8.6.1. Внесение и согласование  изменений в Проекты АС МКД В06 и В-14а -утв перегородок</t>
  </si>
  <si>
    <t>Итого ПЛАНОВЫХ расходов по таблице на 2019 г.</t>
  </si>
  <si>
    <t>В 2019 г. отсутствуют доходы от 2-х этажного пристроя МКД Вилонова,6 в размере 87696,00 руб.</t>
  </si>
  <si>
    <t>СО  и ТО  -4 986 659,08 руб.</t>
  </si>
  <si>
    <t>по В 14а=23 835,675\мес= 286028,10\год</t>
  </si>
  <si>
    <t>по В 6= 23 835,675\мес= 286028,10\год</t>
  </si>
  <si>
    <t>В 6=33 335\мес</t>
  </si>
  <si>
    <t>Вил-14а-33 185\мес.</t>
  </si>
  <si>
    <t>5.2.5.</t>
  </si>
  <si>
    <t>5.2.6.Сайт ТСЖ: аббонет. Обслуживание, хостинг, продление регистрации на 2016 г., информ.стенды</t>
  </si>
  <si>
    <t>1.2.Вывоз и утилизация ТБО (РЕГ. ОПЕРАТОР МУП "Спецавтобаза": Вил-6 и В-14а)</t>
  </si>
  <si>
    <t>Дефицит/профицит:</t>
  </si>
  <si>
    <t>1.4. Замена внутридомовых разводящих магистралей и стояков коммунального и квартирного освещения.</t>
  </si>
  <si>
    <t>1.5. Замена силовых электрических стояков питания квартир.</t>
  </si>
  <si>
    <t xml:space="preserve">1.6. Замена внутридомовых электрических сетей до вводных автоматов (до квартирных счетчиков электроэнергии). </t>
  </si>
  <si>
    <t>1.7. Замена проводки для питания осветительных приборов МОП (тамбур, лестничная клетка, чердак, технический этаж и т.п.).</t>
  </si>
  <si>
    <t>1.8. Замена электрических сетей для питания электрооборудования лифтов, пожарной сигнализации, системы дымоудаления и электрооборудования для обеспечения работы инженерных систем, в том числе электрооборудования лифтов, пожарной сигнализации, системы дымоудаления.</t>
  </si>
  <si>
    <t xml:space="preserve">1.9. Замена или установка в МОП, на придомовой территории энергосберегающих и антивандальных светильников, а также выключателей и розеток. </t>
  </si>
  <si>
    <t>1.10. Ремонт или замена освещения в чердачном, подвальном помещениях.</t>
  </si>
  <si>
    <t>1.11. Герметизация вводов инженерных сетей в наружных стенах (при необходимости).</t>
  </si>
  <si>
    <t>1.12. Ремонт или замена системы молниезащиты (при условиях наличия в составе работ по капитальному ремонту крыши, а также наличия существующей системы молниезащиты).</t>
  </si>
  <si>
    <t>1.13. Замена общедомовых приборов учета эл.энергии.</t>
  </si>
  <si>
    <t>1.14. Приемо-сдаточные испытания.</t>
  </si>
  <si>
    <t>2. Работы по капитальному ремонту систем теплоснабжения: (сумма по работам рассчитана совместно с п.3)</t>
  </si>
  <si>
    <t>2.1. Ремонт или замена разводящих магистралей трубопроводов и стояков.</t>
  </si>
  <si>
    <t>2.2. Замена запорной и регулировочной арматуры, в том числе на ответвлении от стояков к отопительным приборам в жилых помещениях.</t>
  </si>
  <si>
    <t>2.3. Замена отопительных приборов в МОП и замена в жилых помещениях отопительных приборов, не имеющих отключающих устройств.</t>
  </si>
  <si>
    <t>2.4. Устройство заземления при замене стояков и стальных трубопроводов на металлопластиковые, армированные, пластиковые (при необходимости) трубопроводы.</t>
  </si>
  <si>
    <t>2.5. Герметизация вводов инженерных сетей в наружных стенах (при необходимости).</t>
  </si>
  <si>
    <t xml:space="preserve">3. Работы по капитальному ремонту систем водоснабжения  ГВС, ХВС, водоотведения, в т.ч.: </t>
  </si>
  <si>
    <t>3.2. Замена запорн арматуры, восстановление герметичности участков трубопроводов,  утверждено и не реализовано в 2018 г.</t>
  </si>
  <si>
    <t>3.3. Замена стальн. стояков ГВС на полипропиленовые ( вт.ч./или обратн. Стояков ГСВ) ГВС,  утверждено и не реализовано в 2018 г.</t>
  </si>
  <si>
    <t>3.4. Замена  запорн арматуры насосных станций ГВС (модернизация), торцевого уплотнения  центробежного насоса,  утверждено и не реализовано в 2018 г.</t>
  </si>
  <si>
    <t>3.5. Ремонт или замена водомерных узлов ХВС с возможностью установки прибора учета (при необходимости)</t>
  </si>
  <si>
    <t>3.6. Ремонт или замена разводящих магистралей трубопроводов и стояков ХВС</t>
  </si>
  <si>
    <t>3.7. Замена запорной арматуры, в том числе на ответвлении от стояков в квартиру (ХВС)</t>
  </si>
  <si>
    <t>3.8. Ремонт или замена в комплексе оборудования повысительных насосных установок ХВС</t>
  </si>
  <si>
    <t>3.9. Ремонт или замена оборудования, трубопроводов и оснащения пожарного водопровода ХВС</t>
  </si>
  <si>
    <t>3.10. Устройство заземления при замене стояков и стальных трубопроводов на металлопластиковые, армированные, пластиковые (при необходимости) трубопроводы в системе ХВС.</t>
  </si>
  <si>
    <t>3.11. Герметизация вводов инженерных сетей в наружных стенах (при необходимости) в систиеме ХВС.</t>
  </si>
  <si>
    <t>3.12. Ремонт или замена тепловых регуляторов жидкости, теплообменников, бойлеров, насосных установок и другого оборудования (в составе общего имущества) в комплексе для приготовления и подачи горячей воды в распределительную сеть.</t>
  </si>
  <si>
    <t>3.13. Ремонт или замена разводящих магистралей трубопроводов и стояков ГВС.</t>
  </si>
  <si>
    <t>3.14. Замена запорной арматуры, в том числе на ответвлении от стояков в квартиру в системе ГВС</t>
  </si>
  <si>
    <t>3.15. Устройство заземления при замене стояков и стальных трубопроводов на металлопластиковые, армированные, пластиковые (при необходимости) трубопроводы в системе ГВС</t>
  </si>
  <si>
    <t xml:space="preserve">ИТОГО Сальдо за 2019г </t>
  </si>
  <si>
    <t>Итого плановых  расходов по таблице за 2019 г</t>
  </si>
  <si>
    <t xml:space="preserve">ИТОГО Сальдо Спецсчета ФКР  на конец планового периода (на 31.12.2019г.) </t>
  </si>
  <si>
    <t>Восстановление нарушенного при производстве работ благоустройства (при необходимости) системы водоотведения.</t>
  </si>
  <si>
    <t>3.16. Герметизация вводов инженерных сетей в наружных стенах (при необходимости) в системе ГВС</t>
  </si>
  <si>
    <t>3.17. Ремонт или замена выпусков, сборных трубопроводов, стояков и вытяжек в системе водоотведения.</t>
  </si>
  <si>
    <t>3.18. Замена задвижек при их наличии в системе водоотведения.</t>
  </si>
  <si>
    <t>3.19. Ремонт или замена выпуска трубопровода до первого колодца.</t>
  </si>
  <si>
    <t>3.20. Устройство заземления при замене стояков и стальных трубопроводов на металлопластиковые, армированные, пластиковые (при необходимости), чугунные трубопроводы в системе водоотведения.</t>
  </si>
  <si>
    <t>3.21. Герметизация выпусков инженерных сетей в наружных стенах с устройством приямка (при необходимости) в системе водоотведения.</t>
  </si>
  <si>
    <t>3.22. Ремонт, восстановление, замена, модернизация, восстановление/устройство теплоизоляции системы ливневой канализации.</t>
  </si>
  <si>
    <t>3.23. Замена существующего, отработавшего нормативные сроки прибора учета, необходимого для предоставления коммунальных услуг (тепловой энергии, горячей и холодной воды, электрической энергии, газа).</t>
  </si>
  <si>
    <t>3.24. Выполнение поверки смонтированных узлов учета потребления коммунальных услуг.</t>
  </si>
  <si>
    <t>II\Работы по капитальному ремонту лифтового  оборудования:</t>
  </si>
  <si>
    <t xml:space="preserve">III\ Работы по капитальному ремонту  крыши
</t>
  </si>
  <si>
    <t>II.1. Ремонт шахт, замена приставных шахт (при необходимости).</t>
  </si>
  <si>
    <t>II.2. Ремонт машинных помещений.</t>
  </si>
  <si>
    <t>II.3. Замена направляющих лифта.</t>
  </si>
  <si>
    <t>II.4. Ремонт, замена элементов автоматизации и диспетчеризации лифтового оборудования.</t>
  </si>
  <si>
    <t>II.5. Оборудование устройств, необходимых для подключения к действующим системам автоматизации и диспетчеризации лифтового оборудования.</t>
  </si>
  <si>
    <t>II.6. Замена электрических сетей для питания электрооборудования лифтов.</t>
  </si>
  <si>
    <t>II.7. Ремонт или замена освещения шахты лифта, машинного отделения.</t>
  </si>
  <si>
    <t>II.8. Пусконаладочные работы и техническое освидетельствование.</t>
  </si>
  <si>
    <t>III.2.  Ремонт стяжки чердачного перекрытия.</t>
  </si>
  <si>
    <t>III.3.  Ремонт или замена системы водоотвода (свесы, желоба, разжелобки, лотки) с заменой водосточных труб и изделий (наружных и внутренних).</t>
  </si>
  <si>
    <t>III.4. Ремонт или замена надкровельных элементов:</t>
  </si>
  <si>
    <t>III.5. Устранение, заделка трещин в бетоне кровельной панели.</t>
  </si>
  <si>
    <t>III.6.  Устранение нарушения гидроизоляции в местах стыковки кровельных панелей.</t>
  </si>
  <si>
    <t>III.7.  Восстановление герметичности деформационного шва в лотке.</t>
  </si>
  <si>
    <t>III.8.  Заделка, восстановление герметичности в местах прохода закладных деталей (анкеров, прохода дефлектора).</t>
  </si>
  <si>
    <t>III.9. Устранение не герметичности примыканий  в местах прохода вентиляционных элементов (канализации и т.п.) шахт.</t>
  </si>
  <si>
    <t>III.10. Устранение не герметичности в местах примыкания к фризовым панелям, вертикальных и горизонтальных швах парапетов.</t>
  </si>
  <si>
    <t>III.11. Покраска металлических элементов, расположенных на кровле, в т.ч. ограждений, вентиляционных жалюзи, дверей выхода на кровлю, элементов молниезащиты и др.</t>
  </si>
  <si>
    <t>III.12. Ремонт или замена рулонного покрытия, покрытия парапетов, стяжки козырьков входных групп.</t>
  </si>
  <si>
    <t>III.13. Организация, ремонт продухов, ремонт или замена слуховых окон и других устройств для вентиляции чердачного пространства.</t>
  </si>
  <si>
    <t>IV.1. Ремонт участков стен подвалов и пола</t>
  </si>
  <si>
    <t>IV.2. Ремонт и утепление стен, надподвальных перекрытий подвальных помещений</t>
  </si>
  <si>
    <t>IV.3.Гидроизоляция стен и пола подвала</t>
  </si>
  <si>
    <t>IV.4. Ремонт технических помещений с установкой и ремонтом металлических дверей и входов в подвал.</t>
  </si>
  <si>
    <t>IV.5.Ремонт продухов, подвальных окон, приямков и наружных дверей.</t>
  </si>
  <si>
    <t>IV.6. Ремонт отмостки</t>
  </si>
  <si>
    <t>IV.7. Герметизация проходов вводов и выпусков инженерных сетей в наружных стенах.</t>
  </si>
  <si>
    <t>IV.8.Ремонт или устройство дренажной системы</t>
  </si>
  <si>
    <t>IV.9. Вертикальная и (или) горизонтальная гидроизоляция фундаментов</t>
  </si>
  <si>
    <t>IV.10. Устройство водоотводных приспособлений.</t>
  </si>
  <si>
    <t xml:space="preserve">V.4. Ремонт штукатурного слоя фасада с  частичной окраской (в т.ч. Огражд. Констр  Лоджий) </t>
  </si>
  <si>
    <t>V.6. Зачистка, замывка, обеспылевание поверхности наружных стен</t>
  </si>
  <si>
    <t>V.7. Ремонт штукатурки (фактурного слоя)</t>
  </si>
  <si>
    <t>V.8.Обработка поверхности стен  грунтом (в соответствии с технологией производства работ)</t>
  </si>
  <si>
    <t xml:space="preserve">V.9. Шпаклевание поверхности стен </t>
  </si>
  <si>
    <t>V.10. Устранение трещин (расшивка, грунтование, проклейка, заделка мастичными шпаклевками)</t>
  </si>
  <si>
    <t>V.11. Окраска по штукатурке или по фактурному слою (в местах ремонта штукатурного слоя)</t>
  </si>
  <si>
    <t>V.12.Окраска ограждающих конструкций лоджий тех.этажей (устранение ржавых подтеков)</t>
  </si>
  <si>
    <t>V.13. Окраска вентиляционных жалюзи в районе тех.этажа (ржавых)</t>
  </si>
  <si>
    <t>V.14. Ремонт входных групп (при необходимости)</t>
  </si>
  <si>
    <t>V.16. Ремонт межсекционных швов (утепление, герметизация)</t>
  </si>
  <si>
    <t>V.17. Покраска металлических элементов на фасаде</t>
  </si>
  <si>
    <t>V.18. Покраска, замена входных дверей в подъезды, входов в подвалы, входов в технические помещения</t>
  </si>
  <si>
    <t>V.1. Ремонт сливов балконов, лоджий, козырьков,замена элементов крылец, козырьков, утверждено и не реализовано в 2018 г.</t>
  </si>
  <si>
    <t>V.2. Ремонт отделки и окраска  фасадов (ВЫШЕ 1-го эт, местами ), их элементов, наружных водостоков, утверждено и не реализовано в 2018 г.</t>
  </si>
  <si>
    <t>V.5. Усиление ограждающих несущих конструкций многоквартирного дома (п.4  ст.17 № 127-ОЗ, ред. От 25.09.2017г.) ;  утверждено и не реализовано в 2018 г.</t>
  </si>
  <si>
    <t>IV\ Работа по ремонту капитального ремонта  подвальных помещений и фундаментов</t>
  </si>
  <si>
    <t>V\ Работа по капитальному ремонту фасада:</t>
  </si>
  <si>
    <t>Перерасход из средств , собранных по целевому сбору на озеленение за 2019 г.</t>
  </si>
  <si>
    <t>профицит</t>
  </si>
  <si>
    <t>Сальдо на 01.01.2019 г.</t>
  </si>
  <si>
    <t>Итого расходов по таблице на 2019 г</t>
  </si>
  <si>
    <t>СПРАВОЧНО</t>
  </si>
  <si>
    <t xml:space="preserve">остаток дефицита -профицита по домам по результатам </t>
  </si>
  <si>
    <t xml:space="preserve">                 аудиторских проверок</t>
  </si>
  <si>
    <t>ГОД</t>
  </si>
  <si>
    <t>Вилонова,6, руб.</t>
  </si>
  <si>
    <t>Вилонова,14а, руб.</t>
  </si>
  <si>
    <t>ТСЖ , руб.</t>
  </si>
  <si>
    <t>2014</t>
  </si>
  <si>
    <t>2015</t>
  </si>
  <si>
    <t>2017</t>
  </si>
  <si>
    <t>ИТОГО</t>
  </si>
  <si>
    <t>2018</t>
  </si>
  <si>
    <r>
      <t xml:space="preserve">       Банковский процент  МКД по Вилонова № 6, </t>
    </r>
    <r>
      <rPr>
        <u/>
        <sz val="10"/>
        <rFont val="Arial Cyr"/>
        <charset val="204"/>
      </rPr>
      <t xml:space="preserve">депозит  ФКР </t>
    </r>
    <r>
      <rPr>
        <sz val="10"/>
        <rFont val="Arial Cyr"/>
        <charset val="204"/>
      </rPr>
      <t>(планов. 2018г. *2 р/за год):</t>
    </r>
  </si>
  <si>
    <r>
      <t xml:space="preserve">       Банковский процент  МКД по Вилонова № 14а, </t>
    </r>
    <r>
      <rPr>
        <u/>
        <sz val="10"/>
        <rFont val="Arial Cyr"/>
        <charset val="204"/>
      </rPr>
      <t xml:space="preserve">депозит  ФКР </t>
    </r>
    <r>
      <rPr>
        <sz val="10"/>
        <rFont val="Arial Cyr"/>
        <charset val="204"/>
      </rPr>
      <t>(планов. 2018г. *2 р/за год):</t>
    </r>
  </si>
  <si>
    <r>
      <rPr>
        <b/>
        <sz val="10"/>
        <rFont val="Arial Cyr"/>
        <charset val="204"/>
      </rPr>
      <t>3.1.Замена труб водопроовода ГВС ,ХВС,</t>
    </r>
    <r>
      <rPr>
        <sz val="10"/>
        <rFont val="Arial Cyr"/>
        <charset val="204"/>
      </rPr>
      <t xml:space="preserve"> канализации, утверждено и не реализовано в 2018 г.</t>
    </r>
  </si>
  <si>
    <r>
      <t>·</t>
    </r>
    <r>
      <rPr>
        <sz val="10"/>
        <rFont val="Arial Cyr"/>
        <charset val="204"/>
      </rPr>
      <t xml:space="preserve"> Ремонт лазов на кровлю.</t>
    </r>
  </si>
  <si>
    <r>
      <t>·</t>
    </r>
    <r>
      <rPr>
        <sz val="10"/>
        <rFont val="Arial Cyr"/>
        <charset val="204"/>
      </rPr>
      <t xml:space="preserve"> Смена колпаков на оголовках дымовентблоков и вентшахт.</t>
    </r>
  </si>
  <si>
    <r>
      <t>·</t>
    </r>
    <r>
      <rPr>
        <sz val="10"/>
        <rFont val="Arial Cyr"/>
        <charset val="204"/>
      </rPr>
      <t xml:space="preserve"> Смена покрытий парапетов, брандмауэров, надстроек.</t>
    </r>
  </si>
  <si>
    <r>
      <t>·</t>
    </r>
    <r>
      <rPr>
        <sz val="10"/>
        <rFont val="Arial Cyr"/>
        <charset val="204"/>
      </rPr>
      <t xml:space="preserve"> Ремонт (штукатурка, покраска) и утепление дымовентиляционных блоков и лифтовых шахт.</t>
    </r>
  </si>
  <si>
    <r>
      <t>·</t>
    </r>
    <r>
      <rPr>
        <sz val="10"/>
        <rFont val="Arial Cyr"/>
        <charset val="204"/>
      </rPr>
      <t xml:space="preserve"> Восстановление или ремонт ограждения на кровле.</t>
    </r>
  </si>
  <si>
    <r>
      <t>V.3. Утепление фасадов   (ст.17 № 127-ОЗ, ред. От 25.09.2017г.) либо (</t>
    </r>
    <r>
      <rPr>
        <b/>
        <sz val="10"/>
        <rFont val="Arial Cyr"/>
        <charset val="204"/>
      </rPr>
      <t>межсекц Швов)</t>
    </r>
    <r>
      <rPr>
        <sz val="10"/>
        <rFont val="Arial Cyr"/>
        <charset val="204"/>
      </rPr>
      <t xml:space="preserve"> с оштукатуриванием и окрашиванием,  утверждено и не реализовано в 2018 г.</t>
    </r>
  </si>
  <si>
    <r>
      <rPr>
        <b/>
        <i/>
        <u/>
        <sz val="12"/>
        <rFont val="Arial Cyr"/>
        <charset val="204"/>
      </rPr>
      <t xml:space="preserve">VII\ Ремонт  противопожарных систем </t>
    </r>
    <r>
      <rPr>
        <sz val="12"/>
        <rFont val="Arial Cyr"/>
        <charset val="204"/>
      </rPr>
      <t>(</t>
    </r>
    <r>
      <rPr>
        <sz val="10"/>
        <rFont val="Arial Cyr"/>
        <charset val="204"/>
      </rPr>
      <t>подп. 3-1, N 13-ОЗ от 17.02.2017):</t>
    </r>
  </si>
  <si>
    <r>
      <t xml:space="preserve">3.1.) Остаток денежных средств на </t>
    </r>
    <r>
      <rPr>
        <b/>
        <u/>
        <sz val="10"/>
        <rFont val="Arial Cyr"/>
        <charset val="204"/>
      </rPr>
      <t xml:space="preserve">Спец.счете Фонда Капитального ремонта  </t>
    </r>
    <r>
      <rPr>
        <b/>
        <sz val="10"/>
        <rFont val="Arial Cyr"/>
        <charset val="204"/>
      </rPr>
      <t>на 01.01.2019 г. - 12 683 382,68 руб.</t>
    </r>
  </si>
  <si>
    <t>до 30.06.19 г.</t>
  </si>
  <si>
    <t>с 01.07.2019 г.</t>
  </si>
  <si>
    <t>29,10р/м кв</t>
  </si>
  <si>
    <t>29,50р/м кв</t>
  </si>
  <si>
    <t>46 002,39 р</t>
  </si>
  <si>
    <t>ЦЕЛЕВОЙ Сбор на ОЗЕЛЕНЕНИЕ (2019 г.).</t>
  </si>
  <si>
    <t>15 334.13*0,5*6=46 002,39</t>
  </si>
  <si>
    <t>15 334,13*27,10*6+15334,13*29,10*6=5 170 668,64 руб.</t>
  </si>
  <si>
    <t>СО  и ТО -5 170 668,64 руб.</t>
  </si>
  <si>
    <t>ТАРИФ: 29,10 р\м кв</t>
  </si>
  <si>
    <t>До 30.06.2019 г</t>
  </si>
  <si>
    <t>С 01.07.2019 г.</t>
  </si>
  <si>
    <t>ТАРИФ: 29,50 р\м кв</t>
  </si>
  <si>
    <t>27,98р/м кв</t>
  </si>
  <si>
    <t>ТАРИФ: 27,98 р\м кв</t>
  </si>
  <si>
    <t>15 213,80*27,98*6+15213,80*29,5*6=5 246 935,34 руб.</t>
  </si>
  <si>
    <t>СО  и ТО и 2-х эт пристроя - 5 246 935,34 руб+ 128 640,00= 5 375 575,34 руб.</t>
  </si>
  <si>
    <t>137 285,19 р</t>
  </si>
  <si>
    <r>
      <t xml:space="preserve">Пени за год -  </t>
    </r>
    <r>
      <rPr>
        <b/>
        <u/>
        <sz val="10"/>
        <rFont val="Arial Cyr"/>
        <charset val="204"/>
      </rPr>
      <t>25 000,00 руб.</t>
    </r>
  </si>
  <si>
    <t>План. Начисления по ТСЖ "Вилонова 6"- ИТОГО  за 12 мес.  -  12 212 217,84 руб (+поступления за ОЗЕЛЕНЕНИЕ)  12 349 503,03  руб./год</t>
  </si>
  <si>
    <t>Справочно : на компенсацию за неиспользованный отпуск необходим резерв в размере 587732,29 руб. с взносами на ФОТ</t>
  </si>
  <si>
    <t>С учетом таблицы I  и таблицы II на 01.01.2020 г.</t>
  </si>
  <si>
    <r>
      <t>ПЛАНОВЫЙ   ПЕРЕЧЕНЬ</t>
    </r>
    <r>
      <rPr>
        <b/>
        <sz val="12"/>
        <rFont val="Times New Roman"/>
        <family val="1"/>
        <charset val="204"/>
      </rPr>
      <t xml:space="preserve">   работ и услуг, выполненяемых  для</t>
    </r>
  </si>
  <si>
    <t>обеспечения   надлежащего  содержания общего имущества в МКД , входящих в ТСЖ "Вилонова, 6"  в  2019 г.</t>
  </si>
  <si>
    <r>
      <t>СО  и ТО помещений МКД и 2-х эт пристроя Вил-14а  - 10 417 603,98  руб+ 128 640,00=</t>
    </r>
    <r>
      <rPr>
        <b/>
        <u/>
        <sz val="10"/>
        <rFont val="Arial Cyr"/>
        <charset val="204"/>
      </rPr>
      <t>10 546 243,98 руб.</t>
    </r>
  </si>
  <si>
    <t>1500 руб/1 место в месяц</t>
  </si>
  <si>
    <t>ИТОГО:</t>
  </si>
  <si>
    <r>
      <t xml:space="preserve">План. Начиления по МКД Вил 6 - ИТОГО за 12 мес.  - </t>
    </r>
    <r>
      <rPr>
        <b/>
        <u/>
        <sz val="12"/>
        <rFont val="Arial Cyr"/>
        <charset val="204"/>
      </rPr>
      <t>6 573 441,06 руб.</t>
    </r>
    <r>
      <rPr>
        <b/>
        <sz val="12"/>
        <rFont val="Arial Cyr"/>
        <charset val="204"/>
      </rPr>
      <t xml:space="preserve"> (</t>
    </r>
    <r>
      <rPr>
        <b/>
        <u/>
        <sz val="12"/>
        <rFont val="Arial Cyr"/>
        <charset val="204"/>
      </rPr>
      <t xml:space="preserve">27,1 руб/м кв - нов. Тариф № 2, 29,10 руб/кв.м -нов.Тариф №3 </t>
    </r>
    <r>
      <rPr>
        <b/>
        <sz val="12"/>
        <rFont val="Arial Cyr"/>
        <charset val="204"/>
      </rPr>
      <t xml:space="preserve">(+ поступления за ОЗЕЛЕНЕНИЕ )= </t>
    </r>
    <r>
      <rPr>
        <b/>
        <u/>
        <sz val="12"/>
        <rFont val="Arial Cyr"/>
        <charset val="204"/>
      </rPr>
      <t>6 619 443,45 руб/год</t>
    </r>
  </si>
  <si>
    <r>
      <t>План. Начисления по МКД Вил-14а - ИТОГО  за 12 мес.  - 5 638 776,78 руб (</t>
    </r>
    <r>
      <rPr>
        <b/>
        <u/>
        <sz val="12"/>
        <rFont val="Arial Cyr"/>
        <charset val="204"/>
      </rPr>
      <t>27,98 руб/м кв - нов. Тариф № 2 , 29,50 руб./кв.м.-нов.Тариф № 3</t>
    </r>
    <r>
      <rPr>
        <b/>
        <sz val="12"/>
        <rFont val="Arial Cyr"/>
        <charset val="204"/>
      </rPr>
      <t xml:space="preserve">(+ поступления за ОЗЕЛЕНЕНИЕ )= </t>
    </r>
    <r>
      <rPr>
        <b/>
        <u/>
        <sz val="12"/>
        <rFont val="Arial Cyr"/>
        <charset val="204"/>
      </rPr>
      <t>5 730 059,58 руб/год</t>
    </r>
  </si>
  <si>
    <t>0,5 руб с м кв помещения/мес - озеленение тер-рии</t>
  </si>
  <si>
    <t xml:space="preserve">12. Резерв сомнительных долгов </t>
  </si>
  <si>
    <t>Вил 6 (под № 1-2=17эт): от 20т.рдо  24,5 тс руб/17 эт= 380 т.руб-465 т. Руб.)</t>
  </si>
  <si>
    <t xml:space="preserve"> остав. На счетах по МКД и ПРОФИЦИТА</t>
  </si>
  <si>
    <t>6. Косметич. Ремонт под.ЗА СЧЕТ СРЕДСТВ</t>
  </si>
  <si>
    <t>ЦЕЛЕВОЙ Сбор на ОЗЕЛЕНЕНИЕ (плановые поступления за 2019г.) :</t>
  </si>
  <si>
    <t>ИТОГО на 2019 г.</t>
  </si>
  <si>
    <t>1.1. Расширение и  модернизация объектов ОИ: Освещение СпортПлощадки, светильноки в мини-парке, утверждены ОС в 2018 г.</t>
  </si>
  <si>
    <t>1.2. Замена свет-ков, фонарей, в т.ч. над подъездами  на энергосберегающие и т.п.  Утверждено ОС в 2018 г.</t>
  </si>
  <si>
    <r>
      <rPr>
        <b/>
        <sz val="11"/>
        <rFont val="Arial"/>
        <family val="2"/>
        <charset val="204"/>
      </rPr>
      <t xml:space="preserve">2.Работы по капитальному ремонту систем электроснабжения  за счет средств ФКР  2019 г. , в т.ч.:        </t>
    </r>
    <r>
      <rPr>
        <sz val="11"/>
        <rFont val="Arial"/>
        <family val="2"/>
        <charset val="204"/>
      </rPr>
      <t xml:space="preserve">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1.3. Ремонт или замена ГРЩ, ВРУ, распределительных и групповых щитов, в том числе замена трансформаторов (по окончании срока эксплуатации или выхода из строя), автоматических выключателей, контакторов и другого оборудования.</t>
    </r>
  </si>
  <si>
    <t>в том числе стоимость работ, утвержденных в 2018 г. и не реализованных:</t>
  </si>
  <si>
    <t xml:space="preserve"> Дополнительная  (к сумме, утв. Общ.Собранием МКД в  2018г.) сумма по ремонту фасада, согласованная  на ремонты в 2019 г.</t>
  </si>
  <si>
    <t>Итого, сумма работ по капитальному ремонту систем электроснабжения, утв. Общим собранием в 2019 г.</t>
  </si>
  <si>
    <r>
      <t xml:space="preserve">1.  Работы по капитальному ремонту систем электроснабжения (с учетом работ, утв. В 2019г и </t>
    </r>
    <r>
      <rPr>
        <sz val="10"/>
        <rFont val="Arial Cyr"/>
        <charset val="204"/>
      </rPr>
      <t/>
    </r>
  </si>
  <si>
    <t>2.1.</t>
  </si>
  <si>
    <t>2.2.</t>
  </si>
  <si>
    <t>2.3.</t>
  </si>
  <si>
    <t>Замена тамбурных дверей (за счет средств ФКР)</t>
  </si>
  <si>
    <t>Замена пола 1-х этажей и лестничных маршей 1-го эт. на керамогранит</t>
  </si>
  <si>
    <t>Ремонты стен, потолков, пола, окраска перил, дверей и батарей МОП</t>
  </si>
  <si>
    <t>1.Устройство мест отдыха</t>
  </si>
  <si>
    <t>в мини-парке (скамьи,площадки под них, урны, ограждения клумб, газогнов, горок и т.д)</t>
  </si>
  <si>
    <t>2. Косметич. Ремонт Подъездов  (Вил - 6: под. № 1-2, под. 3 (этаж с графити)  Вил-14а: Под № 6-7) в т.ч.:</t>
  </si>
  <si>
    <t xml:space="preserve">V.15.  Замена тамбурных дверей на модернизированные (по теплопроводности и эстетическим показателям) в подъездах, где проводятся ремонты </t>
  </si>
  <si>
    <t>ИТОГО за 2018 г.</t>
  </si>
  <si>
    <t>Табл. № 5  Использование  ПРОФИЦИТА  иных средств полученных за счет перерасчетов и условном разделении по домам</t>
  </si>
  <si>
    <t>5. Работы по озеленению с учетом закупа цветов- кустарника- деревьев</t>
  </si>
  <si>
    <r>
      <t>работ,</t>
    </r>
    <r>
      <rPr>
        <b/>
        <u/>
        <sz val="11"/>
        <rFont val="Arial Cyr"/>
        <charset val="204"/>
      </rPr>
      <t xml:space="preserve"> утвержденных в 2018 г. и не реализованных на момент настоящего Общ. Собрания:</t>
    </r>
  </si>
  <si>
    <r>
      <t>4.1. Кровли:</t>
    </r>
    <r>
      <rPr>
        <sz val="10"/>
        <rFont val="Arial Cyr"/>
        <charset val="204"/>
      </rPr>
      <t xml:space="preserve"> устранение нарушений гидроизоляции, ремонт водоотводящих устройств</t>
    </r>
  </si>
  <si>
    <t>4.1.2.Восстановление  защитного окрасочного слоя метал. элементов кровли антикорроз составами</t>
  </si>
  <si>
    <r>
      <t xml:space="preserve">4.2.Лестницы МОП: </t>
    </r>
    <r>
      <rPr>
        <sz val="10"/>
        <rFont val="Arial Cyr"/>
        <charset val="204"/>
      </rPr>
      <t>Окраска металических конструкций лестниц, устранение трещин, дыр</t>
    </r>
  </si>
  <si>
    <r>
      <t>4.3.Двери:</t>
    </r>
    <r>
      <rPr>
        <sz val="10"/>
        <rFont val="Arial Cyr"/>
        <charset val="204"/>
      </rPr>
      <t xml:space="preserve">  ремонт (замена) доводчиков, пружин, ограничителей хода дверей, восстановление плотности</t>
    </r>
  </si>
  <si>
    <r>
      <t>4.4.Внутренняя отделка МОП:</t>
    </r>
    <r>
      <rPr>
        <sz val="10"/>
        <rFont val="Arial Cyr"/>
        <charset val="204"/>
      </rPr>
      <t xml:space="preserve"> мелкие </t>
    </r>
    <r>
      <rPr>
        <sz val="8"/>
        <rFont val="Arial Cyr"/>
        <charset val="204"/>
      </rPr>
      <t>ремонты стен, потолков, пола, окраска дверей и батарей МОП, замена стекол,замков МОП</t>
    </r>
  </si>
  <si>
    <t>за счет средств ПРОФИЦИТА и др. экономии</t>
  </si>
  <si>
    <t>См. Табл.V-</t>
  </si>
  <si>
    <r>
      <t xml:space="preserve">4.5.5. Мероприятия по  формированию комфортной среды для МАЛОМОБИЛЬН групп населения, </t>
    </r>
    <r>
      <rPr>
        <b/>
        <u/>
        <sz val="10"/>
        <rFont val="Arial Cyr"/>
        <charset val="204"/>
      </rPr>
      <t>в т.ч.:</t>
    </r>
  </si>
  <si>
    <r>
      <t xml:space="preserve">4,5.5.1 Нанесение разметки, </t>
    </r>
    <r>
      <rPr>
        <sz val="10"/>
        <rFont val="Arial Cyr"/>
        <charset val="204"/>
      </rPr>
      <t>противоскозьзящ покрытий,установка знаков</t>
    </r>
  </si>
  <si>
    <t>5.2.3. Система электронной  Аварийно-Диспеччерской Службы (АДС) + Запись тел. Разговоров и т.д.</t>
  </si>
  <si>
    <r>
      <t xml:space="preserve">5.2.4. Система электрон взаимодействия в орг-ции и с клиентами орг-ции (жителями) </t>
    </r>
    <r>
      <rPr>
        <b/>
        <i/>
        <sz val="10"/>
        <rFont val="Arial Cyr"/>
        <charset val="204"/>
      </rPr>
      <t xml:space="preserve"> Битрикс 24 </t>
    </r>
    <r>
      <rPr>
        <i/>
        <sz val="10"/>
        <rFont val="Arial Cyr"/>
        <charset val="204"/>
      </rPr>
      <t>(аб. Плата, настройка и внедрение)</t>
    </r>
  </si>
  <si>
    <r>
      <t xml:space="preserve">5.3.3.Закуп/изготовление </t>
    </r>
    <r>
      <rPr>
        <sz val="10"/>
        <rFont val="Arial Cyr"/>
        <charset val="204"/>
      </rPr>
      <t>мебели в офисы,склады, изготовление ключей, замена замков, домоф.офисн.Кондиц-ры</t>
    </r>
  </si>
  <si>
    <r>
      <t xml:space="preserve">5.3.4. Закуп и обслуживание фискального принтера (кассового аппарата - </t>
    </r>
    <r>
      <rPr>
        <b/>
        <i/>
        <sz val="10"/>
        <rFont val="Arial Cyr"/>
        <charset val="204"/>
      </rPr>
      <t>ОНЛАЙН-КАССЫ</t>
    </r>
    <r>
      <rPr>
        <i/>
        <sz val="10"/>
        <rFont val="Arial Cyr"/>
        <charset val="204"/>
      </rPr>
      <t>)</t>
    </r>
  </si>
  <si>
    <r>
      <t xml:space="preserve">5.3.8.Ремонты и устройство  подсобных помещений: </t>
    </r>
    <r>
      <rPr>
        <sz val="10"/>
        <rFont val="Arial Cyr"/>
        <charset val="204"/>
      </rPr>
      <t>складов, бытовок, мастерских.</t>
    </r>
  </si>
  <si>
    <r>
      <t xml:space="preserve">     Вил 14а (Под. № 6-7=17 эт): от 20 т.р. До </t>
    </r>
    <r>
      <rPr>
        <u/>
        <sz val="9"/>
        <rFont val="Arial Cyr"/>
        <charset val="204"/>
      </rPr>
      <t>24,5 т.ру</t>
    </r>
    <r>
      <rPr>
        <sz val="9"/>
        <rFont val="Arial Cyr"/>
        <charset val="204"/>
      </rPr>
      <t>б\17 эт= 380 т.руб-465 т. Руб.)</t>
    </r>
  </si>
  <si>
    <t>Расчетный профицит  в сумме с остатками денежных средств на счетах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</si>
</sst>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₽"/>
  </numFmts>
  <fonts count="14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Arial Cyr"/>
      <charset val="204"/>
    </font>
    <font>
      <b/>
      <sz val="11"/>
      <name val="Times New Roman"/>
      <family val="1"/>
      <charset val="204"/>
    </font>
    <font>
      <b/>
      <u/>
      <sz val="11"/>
      <name val="Arial Cyr"/>
      <charset val="204"/>
    </font>
    <font>
      <sz val="10"/>
      <color indexed="10"/>
      <name val="Arial Cyr"/>
      <charset val="204"/>
    </font>
    <font>
      <b/>
      <u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sz val="10"/>
      <color indexed="10"/>
      <name val="Arial Cyr"/>
      <charset val="204"/>
    </font>
    <font>
      <sz val="10"/>
      <color rgb="FF0070C0"/>
      <name val="Arial Cyr"/>
      <charset val="204"/>
    </font>
    <font>
      <sz val="10"/>
      <color indexed="21"/>
      <name val="Arial Cyr"/>
      <charset val="204"/>
    </font>
    <font>
      <b/>
      <sz val="10"/>
      <color rgb="FFFF0000"/>
      <name val="Arial Cyr"/>
      <charset val="204"/>
    </font>
    <font>
      <u/>
      <sz val="10"/>
      <color indexed="10"/>
      <name val="Arial Cyr"/>
      <charset val="204"/>
    </font>
    <font>
      <u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4"/>
      <color indexed="10"/>
      <name val="Arial Cyr"/>
      <charset val="204"/>
    </font>
    <font>
      <b/>
      <u/>
      <sz val="10"/>
      <color indexed="21"/>
      <name val="Arial Cyr"/>
      <charset val="204"/>
    </font>
    <font>
      <b/>
      <sz val="10"/>
      <color indexed="17"/>
      <name val="Arial Cyr"/>
      <charset val="204"/>
    </font>
    <font>
      <b/>
      <sz val="10"/>
      <color indexed="21"/>
      <name val="Arial Cyr"/>
      <charset val="204"/>
    </font>
    <font>
      <b/>
      <u/>
      <sz val="12"/>
      <color rgb="FFFF0000"/>
      <name val="Arial Cyr"/>
      <charset val="204"/>
    </font>
    <font>
      <sz val="10"/>
      <color indexed="8"/>
      <name val="Arial Cyr"/>
      <charset val="204"/>
    </font>
    <font>
      <u/>
      <sz val="10"/>
      <color indexed="8"/>
      <name val="Arial Cyr"/>
      <charset val="204"/>
    </font>
    <font>
      <b/>
      <i/>
      <u/>
      <sz val="10"/>
      <color rgb="FFFF0000"/>
      <name val="Arial Cyr"/>
      <charset val="204"/>
    </font>
    <font>
      <b/>
      <sz val="10"/>
      <color rgb="FF00B050"/>
      <name val="Arial Cyr"/>
      <charset val="204"/>
    </font>
    <font>
      <b/>
      <u/>
      <sz val="10"/>
      <color rgb="FF0070C0"/>
      <name val="Arial Cyr"/>
      <charset val="204"/>
    </font>
    <font>
      <b/>
      <u/>
      <sz val="11"/>
      <color rgb="FFFF000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u/>
      <sz val="10"/>
      <color rgb="FFFF0000"/>
      <name val="Arial Cyr"/>
      <charset val="204"/>
    </font>
    <font>
      <b/>
      <u/>
      <sz val="11"/>
      <color indexed="1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u/>
      <sz val="10"/>
      <name val="Arial Cyr"/>
      <charset val="204"/>
    </font>
    <font>
      <i/>
      <sz val="10"/>
      <color rgb="FFFF0000"/>
      <name val="Arial Cyr"/>
      <charset val="204"/>
    </font>
    <font>
      <sz val="8"/>
      <name val="Arial Cyr"/>
      <charset val="204"/>
    </font>
    <font>
      <sz val="8"/>
      <color rgb="FFFF0000"/>
      <name val="Arial Cyr"/>
      <charset val="204"/>
    </font>
    <font>
      <sz val="9"/>
      <name val="Arial Cyr"/>
      <charset val="204"/>
    </font>
    <font>
      <i/>
      <u/>
      <sz val="12"/>
      <name val="Arial Cyr"/>
      <charset val="204"/>
    </font>
    <font>
      <i/>
      <sz val="10"/>
      <color rgb="FF0070C0"/>
      <name val="Arial Cyr"/>
      <charset val="204"/>
    </font>
    <font>
      <b/>
      <sz val="11"/>
      <name val="Arial Cyr"/>
      <charset val="204"/>
    </font>
    <font>
      <sz val="10"/>
      <color rgb="FF00B050"/>
      <name val="Arial Cyr"/>
      <charset val="204"/>
    </font>
    <font>
      <u/>
      <sz val="8"/>
      <name val="Arial Cyr"/>
      <charset val="204"/>
    </font>
    <font>
      <b/>
      <u/>
      <sz val="10"/>
      <color rgb="FF00B050"/>
      <name val="Arial Cyr"/>
      <charset val="204"/>
    </font>
    <font>
      <b/>
      <u/>
      <sz val="10"/>
      <color indexed="10"/>
      <name val="Arial Cyr"/>
      <charset val="204"/>
    </font>
    <font>
      <b/>
      <sz val="8"/>
      <color indexed="10"/>
      <name val="Arial"/>
      <family val="2"/>
      <charset val="204"/>
    </font>
    <font>
      <b/>
      <u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u/>
      <sz val="8"/>
      <color indexed="8"/>
      <name val="Arial Cyr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10"/>
      <color indexed="12"/>
      <name val="Arial Cyr"/>
      <charset val="204"/>
    </font>
    <font>
      <b/>
      <sz val="12"/>
      <color indexed="12"/>
      <name val="Arial Cyr"/>
      <charset val="204"/>
    </font>
    <font>
      <b/>
      <sz val="10"/>
      <color indexed="8"/>
      <name val="Arial Cyr"/>
      <charset val="204"/>
    </font>
    <font>
      <u/>
      <sz val="10"/>
      <color rgb="FF0070C0"/>
      <name val="Arial Cyr"/>
      <charset val="204"/>
    </font>
    <font>
      <b/>
      <sz val="10"/>
      <color rgb="FF7030A0"/>
      <name val="Arial Cyr"/>
      <charset val="204"/>
    </font>
    <font>
      <i/>
      <sz val="9"/>
      <color rgb="FF00B050"/>
      <name val="Arial Cyr"/>
      <charset val="204"/>
    </font>
    <font>
      <i/>
      <sz val="9"/>
      <name val="Arial Cyr"/>
      <charset val="204"/>
    </font>
    <font>
      <sz val="10"/>
      <name val="Arial"/>
      <family val="2"/>
      <charset val="204"/>
    </font>
    <font>
      <b/>
      <sz val="8"/>
      <color rgb="FF0070C0"/>
      <name val="Arial Cyr"/>
      <charset val="204"/>
    </font>
    <font>
      <b/>
      <i/>
      <sz val="8"/>
      <color rgb="FF0070C0"/>
      <name val="Arial Cyr"/>
      <charset val="204"/>
    </font>
    <font>
      <i/>
      <sz val="10"/>
      <color rgb="FF00B050"/>
      <name val="Arial Cyr"/>
      <charset val="204"/>
    </font>
    <font>
      <b/>
      <u/>
      <sz val="9"/>
      <color rgb="FFFF000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1"/>
      <color rgb="FF0070C0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i/>
      <sz val="11"/>
      <name val="Arial Cyr"/>
      <charset val="204"/>
    </font>
    <font>
      <i/>
      <sz val="10"/>
      <color indexed="10"/>
      <name val="Arial Cyr"/>
      <charset val="204"/>
    </font>
    <font>
      <b/>
      <sz val="9"/>
      <color rgb="FFFF0000"/>
      <name val="Arial Cyr"/>
      <charset val="204"/>
    </font>
    <font>
      <b/>
      <u/>
      <sz val="9"/>
      <color indexed="10"/>
      <name val="Arial Cyr"/>
      <charset val="204"/>
    </font>
    <font>
      <sz val="14"/>
      <name val="Arial Cyr"/>
      <charset val="204"/>
    </font>
    <font>
      <b/>
      <u/>
      <sz val="14"/>
      <color indexed="10"/>
      <name val="Arial Cyr"/>
      <charset val="204"/>
    </font>
    <font>
      <b/>
      <i/>
      <u/>
      <sz val="12"/>
      <name val="Arial Cyr"/>
      <charset val="204"/>
    </font>
    <font>
      <b/>
      <sz val="9"/>
      <color rgb="FF0070C0"/>
      <name val="Arial Cyr"/>
      <charset val="204"/>
    </font>
    <font>
      <sz val="9"/>
      <color rgb="FF0070C0"/>
      <name val="Arial Cyr"/>
      <charset val="204"/>
    </font>
    <font>
      <sz val="12"/>
      <color rgb="FFFF0000"/>
      <name val="Arial Cyr"/>
      <charset val="204"/>
    </font>
    <font>
      <b/>
      <sz val="11"/>
      <color indexed="12"/>
      <name val="Arial Cyr"/>
      <charset val="204"/>
    </font>
    <font>
      <i/>
      <sz val="12"/>
      <name val="Arial Cyr"/>
      <charset val="204"/>
    </font>
    <font>
      <i/>
      <u/>
      <sz val="9"/>
      <color rgb="FFFF0000"/>
      <name val="Arial Cyr"/>
      <charset val="204"/>
    </font>
    <font>
      <sz val="8"/>
      <color rgb="FF0070C0"/>
      <name val="Arial Cyr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 tint="0.499984740745262"/>
      <name val="Arial Cyr"/>
      <charset val="204"/>
    </font>
    <font>
      <u/>
      <sz val="11"/>
      <name val="Arial Cyr"/>
      <charset val="204"/>
    </font>
    <font>
      <b/>
      <u/>
      <sz val="8"/>
      <color rgb="FFFF0000"/>
      <name val="Arial Cyr"/>
      <charset val="204"/>
    </font>
    <font>
      <b/>
      <u/>
      <sz val="8"/>
      <name val="Arial Cyr"/>
      <charset val="204"/>
    </font>
    <font>
      <strike/>
      <sz val="10"/>
      <name val="Arial Cyr"/>
      <charset val="204"/>
    </font>
    <font>
      <b/>
      <u/>
      <sz val="11"/>
      <color rgb="FF0070C0"/>
      <name val="Arial Cyr"/>
      <charset val="204"/>
    </font>
    <font>
      <b/>
      <sz val="11"/>
      <color rgb="FFFF0000"/>
      <name val="Arial Cyr"/>
      <charset val="204"/>
    </font>
    <font>
      <b/>
      <sz val="8"/>
      <color rgb="FFFF0000"/>
      <name val="Arial Cyr"/>
      <charset val="204"/>
    </font>
    <font>
      <b/>
      <u/>
      <sz val="10"/>
      <color rgb="FF0070C0"/>
      <name val="Arial"/>
      <family val="2"/>
      <charset val="204"/>
    </font>
    <font>
      <b/>
      <i/>
      <sz val="10"/>
      <color rgb="FF00B050"/>
      <name val="Arial Cyr"/>
      <charset val="204"/>
    </font>
    <font>
      <b/>
      <u/>
      <sz val="10"/>
      <color rgb="FFFF0000"/>
      <name val="Arial"/>
      <family val="2"/>
      <charset val="204"/>
    </font>
    <font>
      <b/>
      <u/>
      <sz val="10"/>
      <color rgb="FF00B0F0"/>
      <name val="Arial Cyr"/>
      <charset val="204"/>
    </font>
    <font>
      <sz val="10"/>
      <color rgb="FF00B0F0"/>
      <name val="Arial Cyr"/>
      <charset val="204"/>
    </font>
    <font>
      <b/>
      <sz val="10"/>
      <color rgb="FF00B0F0"/>
      <name val="Arial Cyr"/>
      <charset val="204"/>
    </font>
    <font>
      <b/>
      <sz val="10"/>
      <color theme="4" tint="-0.249977111117893"/>
      <name val="Arial Cyr"/>
      <charset val="204"/>
    </font>
    <font>
      <b/>
      <sz val="12"/>
      <color indexed="10"/>
      <name val="Arial Cyr"/>
      <charset val="204"/>
    </font>
    <font>
      <sz val="11"/>
      <color rgb="FFFF0000"/>
      <name val="Arial Cyr"/>
      <charset val="204"/>
    </font>
    <font>
      <sz val="9"/>
      <color rgb="FFFF0000"/>
      <name val="Arial Cyr"/>
      <charset val="204"/>
    </font>
    <font>
      <b/>
      <strike/>
      <sz val="12"/>
      <color rgb="FFFF0000"/>
      <name val="Arial Cyr"/>
      <charset val="204"/>
    </font>
    <font>
      <b/>
      <strike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color rgb="FF00B050"/>
      <name val="Arial Cyr"/>
      <charset val="204"/>
    </font>
    <font>
      <b/>
      <strike/>
      <u/>
      <sz val="12"/>
      <color rgb="FFFF0000"/>
      <name val="Arial Cyr"/>
      <charset val="204"/>
    </font>
    <font>
      <i/>
      <u/>
      <sz val="9"/>
      <name val="Arial Cyr"/>
      <charset val="204"/>
    </font>
    <font>
      <b/>
      <sz val="10"/>
      <color theme="9" tint="-0.249977111117893"/>
      <name val="Arial Cyr"/>
      <charset val="204"/>
    </font>
    <font>
      <sz val="10"/>
      <color theme="9" tint="-0.249977111117893"/>
      <name val="Arial Cyr"/>
      <charset val="204"/>
    </font>
    <font>
      <b/>
      <u/>
      <sz val="10"/>
      <color theme="9" tint="-0.249977111117893"/>
      <name val="Arial Cyr"/>
      <charset val="204"/>
    </font>
    <font>
      <b/>
      <sz val="10"/>
      <name val="Arial"/>
      <family val="2"/>
      <charset val="204"/>
    </font>
    <font>
      <b/>
      <u/>
      <sz val="9"/>
      <color rgb="FF0070C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trike/>
      <sz val="10"/>
      <name val="Arial Cyr"/>
      <charset val="204"/>
    </font>
    <font>
      <b/>
      <i/>
      <sz val="8"/>
      <name val="Arial Cyr"/>
      <charset val="204"/>
    </font>
    <font>
      <u/>
      <sz val="9"/>
      <name val="Arial Cyr"/>
      <charset val="204"/>
    </font>
  </fonts>
  <fills count="5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  <xf numFmtId="0" fontId="96" fillId="27" borderId="0" applyNumberFormat="0" applyBorder="0" applyAlignment="0" applyProtection="0"/>
    <xf numFmtId="0" fontId="96" fillId="30" borderId="0" applyNumberFormat="0" applyBorder="0" applyAlignment="0" applyProtection="0"/>
    <xf numFmtId="0" fontId="96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41" borderId="0" applyNumberFormat="0" applyBorder="0" applyAlignment="0" applyProtection="0"/>
    <xf numFmtId="0" fontId="98" fillId="29" borderId="63" applyNumberFormat="0" applyAlignment="0" applyProtection="0"/>
    <xf numFmtId="0" fontId="99" fillId="42" borderId="64" applyNumberFormat="0" applyAlignment="0" applyProtection="0"/>
    <xf numFmtId="0" fontId="100" fillId="42" borderId="63" applyNumberFormat="0" applyAlignment="0" applyProtection="0"/>
    <xf numFmtId="0" fontId="101" fillId="0" borderId="65" applyNumberFormat="0" applyFill="0" applyAlignment="0" applyProtection="0"/>
    <xf numFmtId="0" fontId="102" fillId="0" borderId="66" applyNumberFormat="0" applyFill="0" applyAlignment="0" applyProtection="0"/>
    <xf numFmtId="0" fontId="103" fillId="0" borderId="6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8" applyNumberFormat="0" applyFill="0" applyAlignment="0" applyProtection="0"/>
    <xf numFmtId="0" fontId="105" fillId="43" borderId="69" applyNumberFormat="0" applyAlignment="0" applyProtection="0"/>
    <xf numFmtId="0" fontId="106" fillId="0" borderId="0" applyNumberFormat="0" applyFill="0" applyBorder="0" applyAlignment="0" applyProtection="0"/>
    <xf numFmtId="0" fontId="107" fillId="44" borderId="0" applyNumberFormat="0" applyBorder="0" applyAlignment="0" applyProtection="0"/>
    <xf numFmtId="0" fontId="108" fillId="25" borderId="0" applyNumberFormat="0" applyBorder="0" applyAlignment="0" applyProtection="0"/>
    <xf numFmtId="0" fontId="109" fillId="0" borderId="0" applyNumberFormat="0" applyFill="0" applyBorder="0" applyAlignment="0" applyProtection="0"/>
    <xf numFmtId="0" fontId="1" fillId="45" borderId="70" applyNumberFormat="0" applyFont="0" applyAlignment="0" applyProtection="0"/>
    <xf numFmtId="0" fontId="110" fillId="0" borderId="71" applyNumberFormat="0" applyFill="0" applyAlignment="0" applyProtection="0"/>
    <xf numFmtId="0" fontId="111" fillId="0" borderId="0" applyNumberFormat="0" applyFill="0" applyBorder="0" applyAlignment="0" applyProtection="0"/>
    <xf numFmtId="0" fontId="112" fillId="26" borderId="0" applyNumberFormat="0" applyBorder="0" applyAlignment="0" applyProtection="0"/>
  </cellStyleXfs>
  <cellXfs count="1946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0" borderId="0" xfId="0" applyFont="1"/>
    <xf numFmtId="0" fontId="9" fillId="3" borderId="0" xfId="0" applyFont="1" applyFill="1"/>
    <xf numFmtId="0" fontId="1" fillId="4" borderId="0" xfId="0" applyFont="1" applyFill="1" applyBorder="1"/>
    <xf numFmtId="0" fontId="10" fillId="3" borderId="0" xfId="0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3" borderId="0" xfId="0" applyFont="1" applyFill="1"/>
    <xf numFmtId="0" fontId="8" fillId="3" borderId="0" xfId="0" applyFont="1" applyFill="1"/>
    <xf numFmtId="0" fontId="16" fillId="3" borderId="0" xfId="0" applyFont="1" applyFill="1"/>
    <xf numFmtId="0" fontId="0" fillId="0" borderId="0" xfId="0" applyFill="1"/>
    <xf numFmtId="0" fontId="17" fillId="5" borderId="0" xfId="0" applyFont="1" applyFill="1"/>
    <xf numFmtId="0" fontId="16" fillId="0" borderId="0" xfId="0" applyFont="1" applyFill="1"/>
    <xf numFmtId="0" fontId="20" fillId="0" borderId="0" xfId="0" applyFont="1"/>
    <xf numFmtId="0" fontId="17" fillId="0" borderId="0" xfId="0" applyFont="1" applyFill="1"/>
    <xf numFmtId="0" fontId="21" fillId="6" borderId="0" xfId="0" applyFont="1" applyFill="1"/>
    <xf numFmtId="0" fontId="8" fillId="0" borderId="0" xfId="0" applyFont="1" applyFill="1"/>
    <xf numFmtId="0" fontId="0" fillId="0" borderId="0" xfId="0" applyFont="1" applyFill="1"/>
    <xf numFmtId="0" fontId="22" fillId="0" borderId="0" xfId="0" applyFont="1"/>
    <xf numFmtId="0" fontId="8" fillId="0" borderId="0" xfId="0" applyFont="1" applyFill="1" applyBorder="1"/>
    <xf numFmtId="0" fontId="0" fillId="0" borderId="0" xfId="0" applyFont="1" applyFill="1" applyBorder="1"/>
    <xf numFmtId="0" fontId="23" fillId="0" borderId="0" xfId="0" applyFont="1" applyFill="1" applyBorder="1"/>
    <xf numFmtId="0" fontId="0" fillId="0" borderId="0" xfId="0" applyFill="1" applyBorder="1"/>
    <xf numFmtId="0" fontId="8" fillId="4" borderId="0" xfId="0" applyFont="1" applyFill="1" applyBorder="1"/>
    <xf numFmtId="4" fontId="8" fillId="0" borderId="0" xfId="0" applyNumberFormat="1" applyFont="1"/>
    <xf numFmtId="0" fontId="0" fillId="4" borderId="0" xfId="0" applyFill="1"/>
    <xf numFmtId="0" fontId="24" fillId="0" borderId="0" xfId="0" applyFont="1"/>
    <xf numFmtId="0" fontId="24" fillId="0" borderId="0" xfId="0" applyFont="1" applyFill="1"/>
    <xf numFmtId="0" fontId="24" fillId="4" borderId="0" xfId="0" applyFont="1" applyFill="1"/>
    <xf numFmtId="0" fontId="11" fillId="0" borderId="0" xfId="0" applyFont="1" applyFill="1"/>
    <xf numFmtId="0" fontId="25" fillId="0" borderId="0" xfId="0" applyFont="1" applyFill="1"/>
    <xf numFmtId="0" fontId="13" fillId="0" borderId="0" xfId="0" applyFont="1" applyFill="1"/>
    <xf numFmtId="3" fontId="10" fillId="0" borderId="0" xfId="0" applyNumberFormat="1" applyFont="1" applyFill="1" applyBorder="1"/>
    <xf numFmtId="0" fontId="0" fillId="7" borderId="0" xfId="0" applyFill="1"/>
    <xf numFmtId="0" fontId="19" fillId="0" borderId="0" xfId="0" applyFont="1" applyFill="1"/>
    <xf numFmtId="0" fontId="26" fillId="7" borderId="0" xfId="0" applyFont="1" applyFill="1"/>
    <xf numFmtId="0" fontId="13" fillId="7" borderId="0" xfId="0" applyFont="1" applyFill="1"/>
    <xf numFmtId="0" fontId="25" fillId="7" borderId="0" xfId="0" applyFont="1" applyFill="1"/>
    <xf numFmtId="0" fontId="0" fillId="0" borderId="0" xfId="0" applyBorder="1"/>
    <xf numFmtId="0" fontId="27" fillId="0" borderId="0" xfId="0" applyFont="1" applyFill="1"/>
    <xf numFmtId="0" fontId="11" fillId="0" borderId="0" xfId="0" applyFont="1" applyFill="1" applyBorder="1"/>
    <xf numFmtId="0" fontId="28" fillId="8" borderId="0" xfId="0" applyFont="1" applyFill="1"/>
    <xf numFmtId="0" fontId="0" fillId="0" borderId="1" xfId="0" applyFont="1" applyFill="1" applyBorder="1"/>
    <xf numFmtId="0" fontId="8" fillId="0" borderId="2" xfId="0" applyFont="1" applyFill="1" applyBorder="1"/>
    <xf numFmtId="4" fontId="8" fillId="0" borderId="2" xfId="0" applyNumberFormat="1" applyFont="1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3" fillId="0" borderId="2" xfId="0" applyFont="1" applyFill="1" applyBorder="1"/>
    <xf numFmtId="0" fontId="13" fillId="0" borderId="0" xfId="0" applyFont="1" applyFill="1" applyBorder="1"/>
    <xf numFmtId="0" fontId="23" fillId="9" borderId="0" xfId="0" applyFont="1" applyFill="1"/>
    <xf numFmtId="0" fontId="0" fillId="0" borderId="4" xfId="0" applyFont="1" applyFill="1" applyBorder="1"/>
    <xf numFmtId="0" fontId="29" fillId="5" borderId="0" xfId="0" applyFont="1" applyFill="1"/>
    <xf numFmtId="0" fontId="0" fillId="0" borderId="6" xfId="0" applyFont="1" applyFill="1" applyBorder="1"/>
    <xf numFmtId="0" fontId="8" fillId="0" borderId="7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13" fillId="9" borderId="0" xfId="0" applyFont="1" applyFill="1"/>
    <xf numFmtId="0" fontId="22" fillId="10" borderId="0" xfId="0" applyFont="1" applyFill="1"/>
    <xf numFmtId="0" fontId="30" fillId="10" borderId="0" xfId="0" applyFont="1" applyFill="1"/>
    <xf numFmtId="0" fontId="0" fillId="10" borderId="0" xfId="0" applyFill="1"/>
    <xf numFmtId="4" fontId="8" fillId="0" borderId="0" xfId="0" applyNumberFormat="1" applyFont="1" applyFill="1"/>
    <xf numFmtId="0" fontId="19" fillId="7" borderId="0" xfId="0" applyFont="1" applyFill="1"/>
    <xf numFmtId="0" fontId="8" fillId="7" borderId="0" xfId="0" applyFont="1" applyFill="1"/>
    <xf numFmtId="0" fontId="8" fillId="7" borderId="0" xfId="0" applyFont="1" applyFill="1" applyBorder="1"/>
    <xf numFmtId="4" fontId="8" fillId="7" borderId="0" xfId="0" applyNumberFormat="1" applyFont="1" applyFill="1"/>
    <xf numFmtId="0" fontId="0" fillId="7" borderId="1" xfId="0" applyFill="1" applyBorder="1"/>
    <xf numFmtId="0" fontId="17" fillId="7" borderId="2" xfId="0" applyFont="1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0" xfId="0" applyFont="1" applyFill="1"/>
    <xf numFmtId="0" fontId="0" fillId="0" borderId="4" xfId="0" applyFont="1" applyBorder="1"/>
    <xf numFmtId="0" fontId="17" fillId="0" borderId="2" xfId="0" applyFont="1" applyBorder="1"/>
    <xf numFmtId="0" fontId="0" fillId="0" borderId="0" xfId="0" applyFont="1" applyBorder="1"/>
    <xf numFmtId="0" fontId="8" fillId="0" borderId="8" xfId="0" applyFont="1" applyFill="1" applyBorder="1"/>
    <xf numFmtId="0" fontId="0" fillId="7" borderId="1" xfId="0" applyFont="1" applyFill="1" applyBorder="1"/>
    <xf numFmtId="0" fontId="0" fillId="7" borderId="2" xfId="0" applyFont="1" applyFill="1" applyBorder="1"/>
    <xf numFmtId="0" fontId="0" fillId="7" borderId="0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16" fillId="0" borderId="0" xfId="0" applyFont="1" applyBorder="1" applyAlignment="1">
      <alignment horizontal="left"/>
    </xf>
    <xf numFmtId="0" fontId="8" fillId="0" borderId="0" xfId="0" applyFont="1" applyBorder="1"/>
    <xf numFmtId="0" fontId="11" fillId="0" borderId="0" xfId="0" applyFont="1" applyBorder="1"/>
    <xf numFmtId="0" fontId="0" fillId="0" borderId="4" xfId="0" applyBorder="1"/>
    <xf numFmtId="0" fontId="0" fillId="11" borderId="9" xfId="0" applyFill="1" applyBorder="1"/>
    <xf numFmtId="0" fontId="20" fillId="0" borderId="0" xfId="0" applyFont="1" applyBorder="1"/>
    <xf numFmtId="0" fontId="0" fillId="0" borderId="6" xfId="0" applyBorder="1"/>
    <xf numFmtId="0" fontId="0" fillId="0" borderId="7" xfId="0" applyBorder="1"/>
    <xf numFmtId="0" fontId="32" fillId="0" borderId="0" xfId="0" applyFont="1" applyFill="1"/>
    <xf numFmtId="0" fontId="33" fillId="0" borderId="0" xfId="0" applyFont="1" applyFill="1"/>
    <xf numFmtId="0" fontId="1" fillId="0" borderId="0" xfId="0" applyFont="1"/>
    <xf numFmtId="4" fontId="34" fillId="7" borderId="0" xfId="0" applyNumberFormat="1" applyFont="1" applyFill="1" applyBorder="1" applyAlignment="1">
      <alignment horizontal="left"/>
    </xf>
    <xf numFmtId="0" fontId="16" fillId="10" borderId="11" xfId="0" applyFont="1" applyFill="1" applyBorder="1"/>
    <xf numFmtId="0" fontId="16" fillId="10" borderId="15" xfId="0" applyFont="1" applyFill="1" applyBorder="1"/>
    <xf numFmtId="0" fontId="36" fillId="0" borderId="6" xfId="0" applyFont="1" applyFill="1" applyBorder="1"/>
    <xf numFmtId="3" fontId="37" fillId="3" borderId="9" xfId="0" applyNumberFormat="1" applyFont="1" applyFill="1" applyBorder="1" applyAlignment="1">
      <alignment horizontal="right"/>
    </xf>
    <xf numFmtId="0" fontId="38" fillId="0" borderId="0" xfId="0" applyFont="1" applyFill="1" applyBorder="1"/>
    <xf numFmtId="0" fontId="40" fillId="2" borderId="12" xfId="0" applyFont="1" applyFill="1" applyBorder="1"/>
    <xf numFmtId="3" fontId="10" fillId="4" borderId="9" xfId="0" applyNumberFormat="1" applyFont="1" applyFill="1" applyBorder="1"/>
    <xf numFmtId="3" fontId="10" fillId="10" borderId="9" xfId="0" applyNumberFormat="1" applyFont="1" applyFill="1" applyBorder="1"/>
    <xf numFmtId="3" fontId="10" fillId="12" borderId="9" xfId="0" applyNumberFormat="1" applyFont="1" applyFill="1" applyBorder="1"/>
    <xf numFmtId="3" fontId="10" fillId="3" borderId="12" xfId="0" applyNumberFormat="1" applyFont="1" applyFill="1" applyBorder="1"/>
    <xf numFmtId="3" fontId="10" fillId="0" borderId="16" xfId="0" applyNumberFormat="1" applyFont="1" applyFill="1" applyBorder="1"/>
    <xf numFmtId="0" fontId="38" fillId="0" borderId="11" xfId="0" applyFont="1" applyFill="1" applyBorder="1"/>
    <xf numFmtId="0" fontId="8" fillId="0" borderId="11" xfId="0" applyFont="1" applyBorder="1"/>
    <xf numFmtId="0" fontId="8" fillId="4" borderId="11" xfId="0" applyFont="1" applyFill="1" applyBorder="1"/>
    <xf numFmtId="0" fontId="8" fillId="12" borderId="11" xfId="0" applyFont="1" applyFill="1" applyBorder="1"/>
    <xf numFmtId="0" fontId="8" fillId="4" borderId="4" xfId="0" applyFont="1" applyFill="1" applyBorder="1"/>
    <xf numFmtId="0" fontId="8" fillId="0" borderId="16" xfId="0" applyFont="1" applyFill="1" applyBorder="1"/>
    <xf numFmtId="0" fontId="38" fillId="0" borderId="10" xfId="0" applyFont="1" applyFill="1" applyBorder="1"/>
    <xf numFmtId="0" fontId="16" fillId="4" borderId="17" xfId="0" applyFont="1" applyFill="1" applyBorder="1"/>
    <xf numFmtId="0" fontId="17" fillId="4" borderId="17" xfId="0" applyFont="1" applyFill="1" applyBorder="1"/>
    <xf numFmtId="0" fontId="17" fillId="4" borderId="18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12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38" fillId="0" borderId="15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17" fillId="4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12" borderId="11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0" fillId="0" borderId="10" xfId="0" applyFill="1" applyBorder="1"/>
    <xf numFmtId="0" fontId="10" fillId="0" borderId="2" xfId="0" applyFont="1" applyFill="1" applyBorder="1"/>
    <xf numFmtId="0" fontId="16" fillId="0" borderId="2" xfId="0" applyFont="1" applyFill="1" applyBorder="1"/>
    <xf numFmtId="4" fontId="10" fillId="0" borderId="10" xfId="0" applyNumberFormat="1" applyFont="1" applyFill="1" applyBorder="1" applyAlignment="1">
      <alignment horizontal="center"/>
    </xf>
    <xf numFmtId="4" fontId="10" fillId="0" borderId="20" xfId="0" applyNumberFormat="1" applyFont="1" applyFill="1" applyBorder="1"/>
    <xf numFmtId="164" fontId="10" fillId="0" borderId="10" xfId="0" applyNumberFormat="1" applyFont="1" applyFill="1" applyBorder="1" applyAlignment="1">
      <alignment horizontal="center"/>
    </xf>
    <xf numFmtId="4" fontId="10" fillId="0" borderId="22" xfId="0" applyNumberFormat="1" applyFont="1" applyBorder="1"/>
    <xf numFmtId="164" fontId="10" fillId="0" borderId="16" xfId="0" applyNumberFormat="1" applyFont="1" applyFill="1" applyBorder="1" applyAlignment="1">
      <alignment horizontal="center"/>
    </xf>
    <xf numFmtId="0" fontId="42" fillId="0" borderId="11" xfId="0" applyFont="1" applyFill="1" applyBorder="1"/>
    <xf numFmtId="0" fontId="43" fillId="0" borderId="0" xfId="0" applyFont="1" applyFill="1" applyBorder="1"/>
    <xf numFmtId="0" fontId="21" fillId="0" borderId="0" xfId="0" applyFont="1" applyFill="1" applyBorder="1"/>
    <xf numFmtId="4" fontId="25" fillId="0" borderId="11" xfId="0" applyNumberFormat="1" applyFont="1" applyFill="1" applyBorder="1" applyAlignment="1">
      <alignment horizontal="center"/>
    </xf>
    <xf numFmtId="4" fontId="13" fillId="0" borderId="23" xfId="0" applyNumberFormat="1" applyFont="1" applyFill="1" applyBorder="1"/>
    <xf numFmtId="4" fontId="13" fillId="0" borderId="24" xfId="0" applyNumberFormat="1" applyFont="1" applyFill="1" applyBorder="1"/>
    <xf numFmtId="4" fontId="25" fillId="0" borderId="25" xfId="0" applyNumberFormat="1" applyFont="1" applyFill="1" applyBorder="1" applyAlignment="1">
      <alignment horizontal="center"/>
    </xf>
    <xf numFmtId="4" fontId="13" fillId="0" borderId="26" xfId="0" applyNumberFormat="1" applyFont="1" applyFill="1" applyBorder="1"/>
    <xf numFmtId="164" fontId="25" fillId="0" borderId="11" xfId="0" applyNumberFormat="1" applyFont="1" applyFill="1" applyBorder="1" applyAlignment="1">
      <alignment horizontal="center"/>
    </xf>
    <xf numFmtId="4" fontId="43" fillId="9" borderId="27" xfId="0" applyNumberFormat="1" applyFont="1" applyFill="1" applyBorder="1"/>
    <xf numFmtId="0" fontId="25" fillId="0" borderId="0" xfId="0" applyFont="1" applyFill="1" applyBorder="1" applyAlignment="1">
      <alignment horizontal="right"/>
    </xf>
    <xf numFmtId="0" fontId="0" fillId="0" borderId="11" xfId="0" applyFill="1" applyBorder="1"/>
    <xf numFmtId="0" fontId="1" fillId="0" borderId="0" xfId="0" applyFont="1" applyFill="1" applyBorder="1"/>
    <xf numFmtId="9" fontId="1" fillId="0" borderId="0" xfId="0" applyNumberFormat="1" applyFont="1" applyFill="1" applyBorder="1"/>
    <xf numFmtId="4" fontId="1" fillId="0" borderId="11" xfId="0" applyNumberFormat="1" applyFont="1" applyFill="1" applyBorder="1" applyAlignment="1">
      <alignment horizontal="center"/>
    </xf>
    <xf numFmtId="4" fontId="1" fillId="0" borderId="23" xfId="0" applyNumberFormat="1" applyFont="1" applyFill="1" applyBorder="1"/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/>
    <xf numFmtId="4" fontId="1" fillId="0" borderId="23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1" fillId="9" borderId="27" xfId="0" applyNumberFormat="1" applyFont="1" applyFill="1" applyBorder="1" applyAlignment="1">
      <alignment horizontal="center"/>
    </xf>
    <xf numFmtId="0" fontId="46" fillId="0" borderId="0" xfId="0" applyFont="1" applyFill="1" applyBorder="1"/>
    <xf numFmtId="4" fontId="1" fillId="0" borderId="2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center"/>
    </xf>
    <xf numFmtId="4" fontId="1" fillId="9" borderId="27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7" fillId="0" borderId="0" xfId="0" applyFont="1" applyFill="1" applyBorder="1"/>
    <xf numFmtId="0" fontId="0" fillId="0" borderId="0" xfId="0" applyFill="1" applyBorder="1" applyAlignment="1">
      <alignment horizontal="right"/>
    </xf>
    <xf numFmtId="0" fontId="36" fillId="0" borderId="0" xfId="0" applyFont="1" applyFill="1" applyBorder="1"/>
    <xf numFmtId="0" fontId="45" fillId="0" borderId="0" xfId="0" applyFont="1" applyFill="1" applyBorder="1"/>
    <xf numFmtId="4" fontId="1" fillId="0" borderId="23" xfId="0" applyNumberFormat="1" applyFont="1" applyFill="1" applyBorder="1" applyAlignment="1">
      <alignment horizontal="right"/>
    </xf>
    <xf numFmtId="4" fontId="43" fillId="9" borderId="27" xfId="0" applyNumberFormat="1" applyFont="1" applyFill="1" applyBorder="1" applyAlignment="1">
      <alignment horizontal="right"/>
    </xf>
    <xf numFmtId="4" fontId="43" fillId="4" borderId="27" xfId="0" applyNumberFormat="1" applyFont="1" applyFill="1" applyBorder="1" applyAlignment="1">
      <alignment horizontal="right"/>
    </xf>
    <xf numFmtId="0" fontId="0" fillId="0" borderId="15" xfId="0" applyFill="1" applyBorder="1"/>
    <xf numFmtId="0" fontId="43" fillId="0" borderId="7" xfId="0" applyFont="1" applyFill="1" applyBorder="1"/>
    <xf numFmtId="4" fontId="1" fillId="0" borderId="15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right"/>
    </xf>
    <xf numFmtId="4" fontId="43" fillId="4" borderId="33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0" fillId="0" borderId="4" xfId="0" applyFont="1" applyFill="1" applyBorder="1"/>
    <xf numFmtId="0" fontId="51" fillId="0" borderId="0" xfId="0" applyFont="1" applyFill="1" applyBorder="1"/>
    <xf numFmtId="0" fontId="39" fillId="0" borderId="0" xfId="0" applyFont="1" applyFill="1" applyBorder="1"/>
    <xf numFmtId="4" fontId="10" fillId="0" borderId="34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/>
    <xf numFmtId="164" fontId="10" fillId="0" borderId="20" xfId="0" applyNumberFormat="1" applyFont="1" applyFill="1" applyBorder="1" applyAlignment="1">
      <alignment horizontal="center"/>
    </xf>
    <xf numFmtId="4" fontId="10" fillId="4" borderId="35" xfId="0" applyNumberFormat="1" applyFont="1" applyFill="1" applyBorder="1" applyAlignment="1"/>
    <xf numFmtId="0" fontId="1" fillId="0" borderId="4" xfId="0" applyFont="1" applyFill="1" applyBorder="1"/>
    <xf numFmtId="4" fontId="1" fillId="0" borderId="23" xfId="0" applyNumberFormat="1" applyFont="1" applyFill="1" applyBorder="1" applyAlignment="1"/>
    <xf numFmtId="164" fontId="1" fillId="0" borderId="23" xfId="0" applyNumberFormat="1" applyFont="1" applyFill="1" applyBorder="1"/>
    <xf numFmtId="4" fontId="1" fillId="4" borderId="24" xfId="0" applyNumberFormat="1" applyFont="1" applyFill="1" applyBorder="1" applyAlignment="1"/>
    <xf numFmtId="164" fontId="1" fillId="0" borderId="16" xfId="0" applyNumberFormat="1" applyFont="1" applyFill="1" applyBorder="1"/>
    <xf numFmtId="0" fontId="21" fillId="0" borderId="16" xfId="0" applyFont="1" applyFill="1" applyBorder="1" applyAlignment="1">
      <alignment horizontal="left"/>
    </xf>
    <xf numFmtId="0" fontId="43" fillId="0" borderId="0" xfId="0" applyFont="1"/>
    <xf numFmtId="0" fontId="53" fillId="0" borderId="0" xfId="0" applyFont="1" applyFill="1" applyBorder="1"/>
    <xf numFmtId="4" fontId="13" fillId="0" borderId="23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/>
    <xf numFmtId="4" fontId="0" fillId="0" borderId="26" xfId="0" applyNumberFormat="1" applyFont="1" applyFill="1" applyBorder="1" applyAlignment="1"/>
    <xf numFmtId="4" fontId="1" fillId="9" borderId="24" xfId="0" applyNumberFormat="1" applyFont="1" applyFill="1" applyBorder="1" applyAlignment="1"/>
    <xf numFmtId="0" fontId="20" fillId="0" borderId="0" xfId="0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7" xfId="0" applyFont="1" applyFill="1" applyBorder="1"/>
    <xf numFmtId="4" fontId="1" fillId="0" borderId="29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/>
    <xf numFmtId="4" fontId="0" fillId="0" borderId="32" xfId="0" applyNumberFormat="1" applyFont="1" applyFill="1" applyBorder="1" applyAlignment="1"/>
    <xf numFmtId="4" fontId="1" fillId="4" borderId="30" xfId="0" applyNumberFormat="1" applyFont="1" applyFill="1" applyBorder="1" applyAlignment="1"/>
    <xf numFmtId="0" fontId="1" fillId="0" borderId="2" xfId="0" applyFont="1" applyFill="1" applyBorder="1"/>
    <xf numFmtId="4" fontId="10" fillId="0" borderId="20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/>
    <xf numFmtId="4" fontId="17" fillId="0" borderId="20" xfId="0" applyNumberFormat="1" applyFont="1" applyFill="1" applyBorder="1" applyAlignment="1"/>
    <xf numFmtId="164" fontId="10" fillId="0" borderId="20" xfId="0" applyNumberFormat="1" applyFont="1" applyFill="1" applyBorder="1" applyAlignment="1">
      <alignment horizontal="right"/>
    </xf>
    <xf numFmtId="4" fontId="17" fillId="0" borderId="20" xfId="0" applyNumberFormat="1" applyFont="1" applyFill="1" applyBorder="1" applyAlignment="1">
      <alignment horizontal="right"/>
    </xf>
    <xf numFmtId="4" fontId="37" fillId="4" borderId="36" xfId="0" applyNumberFormat="1" applyFont="1" applyFill="1" applyBorder="1" applyAlignment="1"/>
    <xf numFmtId="0" fontId="35" fillId="0" borderId="0" xfId="0" applyFont="1" applyFill="1" applyBorder="1"/>
    <xf numFmtId="4" fontId="17" fillId="0" borderId="23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/>
    <xf numFmtId="164" fontId="17" fillId="0" borderId="11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/>
    <xf numFmtId="4" fontId="8" fillId="9" borderId="24" xfId="0" applyNumberFormat="1" applyFont="1" applyFill="1" applyBorder="1" applyAlignment="1"/>
    <xf numFmtId="3" fontId="0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4" fontId="16" fillId="0" borderId="23" xfId="0" applyNumberFormat="1" applyFont="1" applyFill="1" applyBorder="1"/>
    <xf numFmtId="164" fontId="16" fillId="0" borderId="23" xfId="0" applyNumberFormat="1" applyFont="1" applyFill="1" applyBorder="1"/>
    <xf numFmtId="4" fontId="16" fillId="0" borderId="23" xfId="0" applyNumberFormat="1" applyFont="1" applyFill="1" applyBorder="1" applyAlignment="1"/>
    <xf numFmtId="3" fontId="11" fillId="0" borderId="0" xfId="0" applyNumberFormat="1" applyFont="1" applyFill="1" applyBorder="1"/>
    <xf numFmtId="4" fontId="16" fillId="0" borderId="23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/>
    <xf numFmtId="4" fontId="1" fillId="9" borderId="19" xfId="0" applyNumberFormat="1" applyFont="1" applyFill="1" applyBorder="1" applyAlignment="1"/>
    <xf numFmtId="3" fontId="16" fillId="0" borderId="0" xfId="0" applyNumberFormat="1" applyFont="1" applyFill="1" applyBorder="1"/>
    <xf numFmtId="0" fontId="24" fillId="0" borderId="0" xfId="0" applyFont="1" applyFill="1" applyBorder="1"/>
    <xf numFmtId="164" fontId="1" fillId="0" borderId="23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/>
    <xf numFmtId="164" fontId="1" fillId="0" borderId="16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left" readingOrder="1"/>
    </xf>
    <xf numFmtId="4" fontId="1" fillId="0" borderId="34" xfId="0" applyNumberFormat="1" applyFont="1" applyBorder="1" applyAlignment="1"/>
    <xf numFmtId="4" fontId="1" fillId="4" borderId="34" xfId="0" applyNumberFormat="1" applyFont="1" applyFill="1" applyBorder="1" applyAlignment="1"/>
    <xf numFmtId="4" fontId="1" fillId="12" borderId="23" xfId="0" applyNumberFormat="1" applyFont="1" applyFill="1" applyBorder="1" applyAlignment="1">
      <alignment horizontal="center"/>
    </xf>
    <xf numFmtId="4" fontId="0" fillId="4" borderId="34" xfId="0" applyNumberFormat="1" applyFont="1" applyFill="1" applyBorder="1" applyAlignment="1"/>
    <xf numFmtId="4" fontId="1" fillId="4" borderId="35" xfId="0" applyNumberFormat="1" applyFont="1" applyFill="1" applyBorder="1" applyAlignment="1"/>
    <xf numFmtId="0" fontId="16" fillId="4" borderId="39" xfId="0" applyFont="1" applyFill="1" applyBorder="1"/>
    <xf numFmtId="4" fontId="1" fillId="0" borderId="23" xfId="0" applyNumberFormat="1" applyFont="1" applyBorder="1"/>
    <xf numFmtId="4" fontId="1" fillId="0" borderId="23" xfId="0" applyNumberFormat="1" applyFont="1" applyBorder="1" applyAlignment="1"/>
    <xf numFmtId="4" fontId="1" fillId="4" borderId="23" xfId="0" applyNumberFormat="1" applyFont="1" applyFill="1" applyBorder="1" applyAlignment="1"/>
    <xf numFmtId="164" fontId="1" fillId="0" borderId="23" xfId="0" applyNumberFormat="1" applyFont="1" applyBorder="1"/>
    <xf numFmtId="4" fontId="1" fillId="12" borderId="23" xfId="0" applyNumberFormat="1" applyFont="1" applyFill="1" applyBorder="1"/>
    <xf numFmtId="4" fontId="0" fillId="4" borderId="23" xfId="0" applyNumberFormat="1" applyFont="1" applyFill="1" applyBorder="1" applyAlignment="1"/>
    <xf numFmtId="0" fontId="60" fillId="0" borderId="0" xfId="0" applyFont="1" applyFill="1" applyBorder="1"/>
    <xf numFmtId="4" fontId="1" fillId="0" borderId="34" xfId="0" applyNumberFormat="1" applyFont="1" applyFill="1" applyBorder="1" applyAlignment="1"/>
    <xf numFmtId="4" fontId="1" fillId="0" borderId="40" xfId="0" applyNumberFormat="1" applyFont="1" applyFill="1" applyBorder="1" applyAlignment="1"/>
    <xf numFmtId="4" fontId="62" fillId="0" borderId="23" xfId="0" applyNumberFormat="1" applyFont="1" applyFill="1" applyBorder="1" applyAlignment="1">
      <alignment horizontal="center"/>
    </xf>
    <xf numFmtId="4" fontId="62" fillId="0" borderId="23" xfId="0" applyNumberFormat="1" applyFont="1" applyFill="1" applyBorder="1" applyAlignment="1"/>
    <xf numFmtId="4" fontId="63" fillId="4" borderId="24" xfId="0" applyNumberFormat="1" applyFont="1" applyFill="1" applyBorder="1" applyAlignment="1"/>
    <xf numFmtId="0" fontId="58" fillId="0" borderId="0" xfId="0" applyFont="1" applyFill="1" applyAlignment="1">
      <alignment wrapText="1"/>
    </xf>
    <xf numFmtId="0" fontId="64" fillId="0" borderId="41" xfId="0" applyFont="1" applyFill="1" applyBorder="1"/>
    <xf numFmtId="4" fontId="1" fillId="0" borderId="42" xfId="0" applyNumberFormat="1" applyFont="1" applyFill="1" applyBorder="1" applyAlignment="1"/>
    <xf numFmtId="4" fontId="0" fillId="0" borderId="23" xfId="0" applyNumberFormat="1" applyFont="1" applyFill="1" applyBorder="1" applyAlignment="1">
      <alignment horizontal="center"/>
    </xf>
    <xf numFmtId="0" fontId="16" fillId="0" borderId="5" xfId="0" applyFont="1" applyFill="1" applyBorder="1"/>
    <xf numFmtId="4" fontId="17" fillId="4" borderId="24" xfId="0" applyNumberFormat="1" applyFont="1" applyFill="1" applyBorder="1" applyAlignment="1"/>
    <xf numFmtId="164" fontId="17" fillId="0" borderId="16" xfId="0" applyNumberFormat="1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4" fontId="1" fillId="0" borderId="11" xfId="0" applyNumberFormat="1" applyFont="1" applyFill="1" applyBorder="1" applyAlignment="1"/>
    <xf numFmtId="4" fontId="1" fillId="4" borderId="4" xfId="0" applyNumberFormat="1" applyFont="1" applyFill="1" applyBorder="1" applyAlignment="1"/>
    <xf numFmtId="4" fontId="1" fillId="9" borderId="25" xfId="0" applyNumberFormat="1" applyFont="1" applyFill="1" applyBorder="1" applyAlignment="1"/>
    <xf numFmtId="0" fontId="1" fillId="0" borderId="5" xfId="0" applyFont="1" applyFill="1" applyBorder="1"/>
    <xf numFmtId="4" fontId="0" fillId="0" borderId="23" xfId="0" applyNumberFormat="1" applyFont="1" applyFill="1" applyBorder="1" applyAlignment="1">
      <alignment horizontal="right"/>
    </xf>
    <xf numFmtId="4" fontId="1" fillId="9" borderId="23" xfId="0" applyNumberFormat="1" applyFont="1" applyFill="1" applyBorder="1" applyAlignment="1"/>
    <xf numFmtId="164" fontId="8" fillId="0" borderId="16" xfId="0" applyNumberFormat="1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34" xfId="0" applyFill="1" applyBorder="1"/>
    <xf numFmtId="0" fontId="1" fillId="0" borderId="8" xfId="0" applyFont="1" applyFill="1" applyBorder="1"/>
    <xf numFmtId="4" fontId="0" fillId="0" borderId="29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" fillId="0" borderId="39" xfId="0" applyFont="1" applyFill="1" applyBorder="1"/>
    <xf numFmtId="4" fontId="1" fillId="0" borderId="11" xfId="0" applyNumberFormat="1" applyFont="1" applyFill="1" applyBorder="1"/>
    <xf numFmtId="4" fontId="0" fillId="0" borderId="11" xfId="0" applyNumberFormat="1" applyFont="1" applyFill="1" applyBorder="1"/>
    <xf numFmtId="4" fontId="0" fillId="0" borderId="34" xfId="0" applyNumberFormat="1" applyFont="1" applyFill="1" applyBorder="1" applyAlignment="1"/>
    <xf numFmtId="0" fontId="0" fillId="0" borderId="18" xfId="0" applyFill="1" applyBorder="1"/>
    <xf numFmtId="0" fontId="8" fillId="0" borderId="17" xfId="0" applyFont="1" applyFill="1" applyBorder="1"/>
    <xf numFmtId="0" fontId="16" fillId="0" borderId="17" xfId="0" applyFont="1" applyFill="1" applyBorder="1"/>
    <xf numFmtId="0" fontId="1" fillId="0" borderId="17" xfId="0" applyFont="1" applyFill="1" applyBorder="1"/>
    <xf numFmtId="16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/>
    <xf numFmtId="4" fontId="17" fillId="0" borderId="26" xfId="0" applyNumberFormat="1" applyFont="1" applyFill="1" applyBorder="1" applyAlignment="1"/>
    <xf numFmtId="4" fontId="1" fillId="0" borderId="24" xfId="0" applyNumberFormat="1" applyFont="1" applyFill="1" applyBorder="1" applyAlignment="1"/>
    <xf numFmtId="4" fontId="1" fillId="0" borderId="4" xfId="0" applyNumberFormat="1" applyFont="1" applyFill="1" applyBorder="1" applyAlignment="1"/>
    <xf numFmtId="0" fontId="42" fillId="0" borderId="0" xfId="0" applyFont="1" applyFill="1" applyBorder="1" applyAlignment="1">
      <alignment horizontal="right"/>
    </xf>
    <xf numFmtId="164" fontId="16" fillId="0" borderId="23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/>
    <xf numFmtId="4" fontId="62" fillId="4" borderId="24" xfId="0" applyNumberFormat="1" applyFont="1" applyFill="1" applyBorder="1" applyAlignment="1"/>
    <xf numFmtId="4" fontId="0" fillId="0" borderId="26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4" fontId="1" fillId="0" borderId="19" xfId="0" applyNumberFormat="1" applyFont="1" applyFill="1" applyBorder="1" applyAlignment="1"/>
    <xf numFmtId="4" fontId="16" fillId="0" borderId="19" xfId="0" applyNumberFormat="1" applyFont="1" applyFill="1" applyBorder="1" applyAlignment="1"/>
    <xf numFmtId="164" fontId="40" fillId="0" borderId="16" xfId="0" applyNumberFormat="1" applyFont="1" applyFill="1" applyBorder="1" applyAlignment="1">
      <alignment horizontal="left"/>
    </xf>
    <xf numFmtId="0" fontId="63" fillId="0" borderId="0" xfId="0" applyFont="1" applyFill="1"/>
    <xf numFmtId="3" fontId="0" fillId="0" borderId="0" xfId="0" applyNumberFormat="1" applyFill="1"/>
    <xf numFmtId="4" fontId="1" fillId="0" borderId="18" xfId="0" applyNumberFormat="1" applyFont="1" applyFill="1" applyBorder="1" applyAlignment="1">
      <alignment horizontal="center"/>
    </xf>
    <xf numFmtId="0" fontId="0" fillId="0" borderId="39" xfId="0" applyFill="1" applyBorder="1"/>
    <xf numFmtId="0" fontId="46" fillId="0" borderId="39" xfId="0" applyFont="1" applyFill="1" applyBorder="1"/>
    <xf numFmtId="4" fontId="1" fillId="0" borderId="39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/>
    <xf numFmtId="4" fontId="0" fillId="0" borderId="2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/>
    <xf numFmtId="4" fontId="0" fillId="0" borderId="44" xfId="0" applyNumberFormat="1" applyFont="1" applyFill="1" applyBorder="1" applyAlignment="1"/>
    <xf numFmtId="4" fontId="0" fillId="0" borderId="4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left"/>
    </xf>
    <xf numFmtId="4" fontId="17" fillId="0" borderId="34" xfId="0" applyNumberFormat="1" applyFont="1" applyFill="1" applyBorder="1" applyAlignment="1"/>
    <xf numFmtId="4" fontId="17" fillId="0" borderId="41" xfId="0" applyNumberFormat="1" applyFont="1" applyFill="1" applyBorder="1" applyAlignment="1"/>
    <xf numFmtId="4" fontId="17" fillId="0" borderId="35" xfId="0" applyNumberFormat="1" applyFont="1" applyFill="1" applyBorder="1" applyAlignment="1"/>
    <xf numFmtId="0" fontId="52" fillId="0" borderId="0" xfId="0" applyFont="1" applyFill="1" applyBorder="1"/>
    <xf numFmtId="0" fontId="42" fillId="0" borderId="0" xfId="0" applyFont="1" applyFill="1" applyBorder="1"/>
    <xf numFmtId="0" fontId="1" fillId="0" borderId="0" xfId="0" applyFont="1" applyBorder="1"/>
    <xf numFmtId="4" fontId="1" fillId="4" borderId="23" xfId="0" applyNumberFormat="1" applyFont="1" applyFill="1" applyBorder="1" applyAlignment="1">
      <alignment horizontal="center"/>
    </xf>
    <xf numFmtId="4" fontId="1" fillId="4" borderId="26" xfId="0" applyNumberFormat="1" applyFont="1" applyFill="1" applyBorder="1" applyAlignment="1"/>
    <xf numFmtId="4" fontId="0" fillId="4" borderId="26" xfId="0" applyNumberFormat="1" applyFont="1" applyFill="1" applyBorder="1" applyAlignment="1">
      <alignment horizontal="right"/>
    </xf>
    <xf numFmtId="4" fontId="16" fillId="4" borderId="23" xfId="0" applyNumberFormat="1" applyFont="1" applyFill="1" applyBorder="1" applyAlignment="1">
      <alignment horizontal="center"/>
    </xf>
    <xf numFmtId="4" fontId="16" fillId="0" borderId="23" xfId="0" applyNumberFormat="1" applyFont="1" applyBorder="1" applyAlignment="1"/>
    <xf numFmtId="4" fontId="16" fillId="4" borderId="23" xfId="0" applyNumberFormat="1" applyFont="1" applyFill="1" applyBorder="1" applyAlignment="1"/>
    <xf numFmtId="4" fontId="16" fillId="15" borderId="23" xfId="0" applyNumberFormat="1" applyFont="1" applyFill="1" applyBorder="1" applyAlignment="1">
      <alignment horizontal="center"/>
    </xf>
    <xf numFmtId="4" fontId="16" fillId="15" borderId="23" xfId="0" applyNumberFormat="1" applyFont="1" applyFill="1" applyBorder="1" applyAlignment="1"/>
    <xf numFmtId="4" fontId="16" fillId="11" borderId="23" xfId="0" applyNumberFormat="1" applyFont="1" applyFill="1" applyBorder="1" applyAlignment="1">
      <alignment horizontal="center"/>
    </xf>
    <xf numFmtId="4" fontId="16" fillId="11" borderId="23" xfId="0" applyNumberFormat="1" applyFont="1" applyFill="1" applyBorder="1" applyAlignment="1"/>
    <xf numFmtId="4" fontId="16" fillId="9" borderId="23" xfId="0" applyNumberFormat="1" applyFont="1" applyFill="1" applyBorder="1" applyAlignment="1"/>
    <xf numFmtId="4" fontId="16" fillId="12" borderId="23" xfId="0" applyNumberFormat="1" applyFont="1" applyFill="1" applyBorder="1" applyAlignment="1">
      <alignment horizontal="center"/>
    </xf>
    <xf numFmtId="4" fontId="1" fillId="4" borderId="23" xfId="0" applyNumberFormat="1" applyFont="1" applyFill="1" applyBorder="1"/>
    <xf numFmtId="4" fontId="0" fillId="4" borderId="26" xfId="0" applyNumberFormat="1" applyFont="1" applyFill="1" applyBorder="1" applyAlignment="1"/>
    <xf numFmtId="4" fontId="1" fillId="0" borderId="18" xfId="0" applyNumberFormat="1" applyFont="1" applyBorder="1" applyAlignment="1"/>
    <xf numFmtId="4" fontId="1" fillId="4" borderId="18" xfId="0" applyNumberFormat="1" applyFont="1" applyFill="1" applyBorder="1" applyAlignment="1"/>
    <xf numFmtId="4" fontId="16" fillId="16" borderId="23" xfId="0" applyNumberFormat="1" applyFont="1" applyFill="1" applyBorder="1" applyAlignment="1">
      <alignment horizontal="center"/>
    </xf>
    <xf numFmtId="4" fontId="1" fillId="16" borderId="18" xfId="0" applyNumberFormat="1" applyFont="1" applyFill="1" applyBorder="1" applyAlignment="1"/>
    <xf numFmtId="4" fontId="16" fillId="16" borderId="23" xfId="0" applyNumberFormat="1" applyFont="1" applyFill="1" applyBorder="1" applyAlignment="1"/>
    <xf numFmtId="4" fontId="0" fillId="4" borderId="43" xfId="0" applyNumberFormat="1" applyFont="1" applyFill="1" applyBorder="1" applyAlignment="1"/>
    <xf numFmtId="0" fontId="1" fillId="4" borderId="7" xfId="0" applyFont="1" applyFill="1" applyBorder="1"/>
    <xf numFmtId="0" fontId="16" fillId="0" borderId="7" xfId="0" applyFont="1" applyFill="1" applyBorder="1"/>
    <xf numFmtId="4" fontId="1" fillId="4" borderId="29" xfId="0" applyNumberFormat="1" applyFont="1" applyFill="1" applyBorder="1" applyAlignment="1">
      <alignment horizontal="center"/>
    </xf>
    <xf numFmtId="4" fontId="1" fillId="0" borderId="29" xfId="0" applyNumberFormat="1" applyFont="1" applyBorder="1" applyAlignment="1"/>
    <xf numFmtId="4" fontId="1" fillId="4" borderId="29" xfId="0" applyNumberFormat="1" applyFont="1" applyFill="1" applyBorder="1" applyAlignment="1"/>
    <xf numFmtId="4" fontId="1" fillId="15" borderId="29" xfId="0" applyNumberFormat="1" applyFont="1" applyFill="1" applyBorder="1" applyAlignment="1">
      <alignment horizontal="center"/>
    </xf>
    <xf numFmtId="4" fontId="1" fillId="15" borderId="29" xfId="0" applyNumberFormat="1" applyFont="1" applyFill="1" applyBorder="1" applyAlignment="1"/>
    <xf numFmtId="4" fontId="1" fillId="0" borderId="34" xfId="0" applyNumberFormat="1" applyFont="1" applyBorder="1"/>
    <xf numFmtId="4" fontId="1" fillId="4" borderId="34" xfId="0" applyNumberFormat="1" applyFont="1" applyFill="1" applyBorder="1"/>
    <xf numFmtId="164" fontId="1" fillId="0" borderId="34" xfId="0" applyNumberFormat="1" applyFont="1" applyBorder="1"/>
    <xf numFmtId="4" fontId="1" fillId="12" borderId="34" xfId="0" applyNumberFormat="1" applyFont="1" applyFill="1" applyBorder="1"/>
    <xf numFmtId="4" fontId="1" fillId="0" borderId="34" xfId="0" applyNumberFormat="1" applyFont="1" applyFill="1" applyBorder="1"/>
    <xf numFmtId="0" fontId="1" fillId="4" borderId="6" xfId="0" applyFont="1" applyFill="1" applyBorder="1"/>
    <xf numFmtId="0" fontId="16" fillId="4" borderId="7" xfId="0" applyFont="1" applyFill="1" applyBorder="1"/>
    <xf numFmtId="4" fontId="1" fillId="0" borderId="18" xfId="0" applyNumberFormat="1" applyFont="1" applyFill="1" applyBorder="1"/>
    <xf numFmtId="4" fontId="1" fillId="0" borderId="11" xfId="0" applyNumberFormat="1" applyFont="1" applyBorder="1" applyAlignment="1"/>
    <xf numFmtId="4" fontId="1" fillId="4" borderId="11" xfId="0" applyNumberFormat="1" applyFont="1" applyFill="1" applyBorder="1" applyAlignment="1"/>
    <xf numFmtId="4" fontId="1" fillId="4" borderId="18" xfId="0" applyNumberFormat="1" applyFont="1" applyFill="1" applyBorder="1"/>
    <xf numFmtId="164" fontId="1" fillId="0" borderId="18" xfId="0" applyNumberFormat="1" applyFont="1" applyFill="1" applyBorder="1"/>
    <xf numFmtId="4" fontId="1" fillId="12" borderId="18" xfId="0" applyNumberFormat="1" applyFont="1" applyFill="1" applyBorder="1"/>
    <xf numFmtId="0" fontId="1" fillId="0" borderId="1" xfId="0" applyFont="1" applyFill="1" applyBorder="1"/>
    <xf numFmtId="0" fontId="17" fillId="0" borderId="1" xfId="0" applyFont="1" applyFill="1" applyBorder="1"/>
    <xf numFmtId="4" fontId="10" fillId="0" borderId="20" xfId="0" applyNumberFormat="1" applyFont="1" applyFill="1" applyBorder="1" applyAlignment="1">
      <alignment horizontal="center"/>
    </xf>
    <xf numFmtId="4" fontId="10" fillId="4" borderId="20" xfId="0" applyNumberFormat="1" applyFont="1" applyFill="1" applyBorder="1" applyAlignment="1">
      <alignment horizontal="center"/>
    </xf>
    <xf numFmtId="4" fontId="17" fillId="4" borderId="20" xfId="0" applyNumberFormat="1" applyFont="1" applyFill="1" applyBorder="1" applyAlignment="1"/>
    <xf numFmtId="164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0" fillId="15" borderId="20" xfId="0" applyNumberFormat="1" applyFont="1" applyFill="1" applyBorder="1" applyAlignment="1">
      <alignment horizontal="center"/>
    </xf>
    <xf numFmtId="4" fontId="17" fillId="15" borderId="20" xfId="0" applyNumberFormat="1" applyFont="1" applyFill="1" applyBorder="1" applyAlignment="1"/>
    <xf numFmtId="4" fontId="17" fillId="4" borderId="36" xfId="0" applyNumberFormat="1" applyFont="1" applyFill="1" applyBorder="1" applyAlignment="1"/>
    <xf numFmtId="0" fontId="1" fillId="0" borderId="0" xfId="0" applyFont="1" applyFill="1"/>
    <xf numFmtId="0" fontId="0" fillId="0" borderId="4" xfId="0" applyFill="1" applyBorder="1"/>
    <xf numFmtId="164" fontId="0" fillId="0" borderId="23" xfId="0" applyNumberFormat="1" applyFont="1" applyFill="1" applyBorder="1" applyAlignment="1">
      <alignment horizontal="center"/>
    </xf>
    <xf numFmtId="164" fontId="23" fillId="0" borderId="16" xfId="0" applyNumberFormat="1" applyFont="1" applyFill="1" applyBorder="1" applyAlignment="1">
      <alignment horizontal="center"/>
    </xf>
    <xf numFmtId="0" fontId="48" fillId="0" borderId="4" xfId="0" applyFont="1" applyFill="1" applyBorder="1"/>
    <xf numFmtId="164" fontId="1" fillId="0" borderId="11" xfId="0" applyNumberFormat="1" applyFont="1" applyFill="1" applyBorder="1"/>
    <xf numFmtId="4" fontId="1" fillId="12" borderId="11" xfId="0" applyNumberFormat="1" applyFont="1" applyFill="1" applyBorder="1"/>
    <xf numFmtId="164" fontId="23" fillId="0" borderId="16" xfId="0" applyNumberFormat="1" applyFont="1" applyFill="1" applyBorder="1" applyAlignment="1">
      <alignment horizontal="left"/>
    </xf>
    <xf numFmtId="4" fontId="1" fillId="16" borderId="23" xfId="0" applyNumberFormat="1" applyFont="1" applyFill="1" applyBorder="1" applyAlignment="1"/>
    <xf numFmtId="164" fontId="16" fillId="0" borderId="16" xfId="0" applyNumberFormat="1" applyFont="1" applyFill="1" applyBorder="1" applyAlignment="1">
      <alignment horizontal="center"/>
    </xf>
    <xf numFmtId="4" fontId="1" fillId="15" borderId="23" xfId="0" applyNumberFormat="1" applyFont="1" applyFill="1" applyBorder="1" applyAlignment="1"/>
    <xf numFmtId="0" fontId="16" fillId="0" borderId="4" xfId="0" applyFont="1" applyFill="1" applyBorder="1"/>
    <xf numFmtId="0" fontId="42" fillId="0" borderId="14" xfId="0" applyFont="1" applyFill="1" applyBorder="1"/>
    <xf numFmtId="4" fontId="21" fillId="0" borderId="23" xfId="0" applyNumberFormat="1" applyFont="1" applyFill="1" applyBorder="1" applyAlignment="1">
      <alignment horizontal="center"/>
    </xf>
    <xf numFmtId="4" fontId="21" fillId="0" borderId="23" xfId="0" applyNumberFormat="1" applyFont="1" applyFill="1" applyBorder="1" applyAlignment="1"/>
    <xf numFmtId="164" fontId="21" fillId="0" borderId="23" xfId="0" applyNumberFormat="1" applyFont="1" applyFill="1" applyBorder="1" applyAlignment="1">
      <alignment horizontal="center"/>
    </xf>
    <xf numFmtId="4" fontId="1" fillId="16" borderId="23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4" fontId="1" fillId="15" borderId="2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4" fontId="42" fillId="0" borderId="4" xfId="0" applyNumberFormat="1" applyFont="1" applyFill="1" applyBorder="1"/>
    <xf numFmtId="4" fontId="16" fillId="0" borderId="43" xfId="0" applyNumberFormat="1" applyFont="1" applyFill="1" applyBorder="1" applyAlignment="1">
      <alignment horizontal="center"/>
    </xf>
    <xf numFmtId="4" fontId="1" fillId="15" borderId="18" xfId="0" applyNumberFormat="1" applyFont="1" applyFill="1" applyBorder="1" applyAlignment="1"/>
    <xf numFmtId="4" fontId="1" fillId="4" borderId="19" xfId="0" applyNumberFormat="1" applyFont="1" applyFill="1" applyBorder="1" applyAlignment="1"/>
    <xf numFmtId="0" fontId="42" fillId="0" borderId="6" xfId="0" applyFont="1" applyFill="1" applyBorder="1"/>
    <xf numFmtId="14" fontId="42" fillId="0" borderId="6" xfId="0" applyNumberFormat="1" applyFont="1" applyFill="1" applyBorder="1"/>
    <xf numFmtId="0" fontId="21" fillId="0" borderId="7" xfId="0" applyFont="1" applyFill="1" applyBorder="1"/>
    <xf numFmtId="0" fontId="13" fillId="0" borderId="46" xfId="0" applyFont="1" applyFill="1" applyBorder="1"/>
    <xf numFmtId="4" fontId="16" fillId="0" borderId="32" xfId="0" applyNumberFormat="1" applyFont="1" applyFill="1" applyBorder="1" applyAlignment="1">
      <alignment horizontal="center"/>
    </xf>
    <xf numFmtId="0" fontId="1" fillId="0" borderId="16" xfId="0" applyFont="1" applyFill="1" applyBorder="1"/>
    <xf numFmtId="4" fontId="1" fillId="0" borderId="34" xfId="0" applyNumberFormat="1" applyFont="1" applyFill="1" applyBorder="1" applyAlignment="1">
      <alignment horizontal="center"/>
    </xf>
    <xf numFmtId="4" fontId="1" fillId="4" borderId="34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4" fontId="1" fillId="12" borderId="34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4" fontId="1" fillId="12" borderId="18" xfId="0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 horizontal="center"/>
    </xf>
    <xf numFmtId="4" fontId="16" fillId="0" borderId="20" xfId="0" applyNumberFormat="1" applyFont="1" applyFill="1" applyBorder="1" applyAlignment="1"/>
    <xf numFmtId="164" fontId="16" fillId="0" borderId="20" xfId="0" applyNumberFormat="1" applyFont="1" applyFill="1" applyBorder="1" applyAlignment="1">
      <alignment horizontal="center"/>
    </xf>
    <xf numFmtId="4" fontId="16" fillId="4" borderId="22" xfId="0" applyNumberFormat="1" applyFont="1" applyFill="1" applyBorder="1" applyAlignment="1"/>
    <xf numFmtId="4" fontId="16" fillId="4" borderId="27" xfId="0" applyNumberFormat="1" applyFont="1" applyFill="1" applyBorder="1" applyAlignment="1"/>
    <xf numFmtId="4" fontId="17" fillId="0" borderId="23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/>
    <xf numFmtId="4" fontId="16" fillId="0" borderId="23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/>
    <xf numFmtId="0" fontId="46" fillId="0" borderId="0" xfId="0" applyFont="1" applyFill="1" applyBorder="1" applyAlignment="1">
      <alignment horizontal="center"/>
    </xf>
    <xf numFmtId="0" fontId="1" fillId="0" borderId="19" xfId="0" applyFont="1" applyFill="1" applyBorder="1"/>
    <xf numFmtId="4" fontId="16" fillId="0" borderId="34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/>
    <xf numFmtId="164" fontId="16" fillId="0" borderId="34" xfId="0" applyNumberFormat="1" applyFont="1" applyFill="1" applyBorder="1" applyAlignment="1">
      <alignment horizontal="center"/>
    </xf>
    <xf numFmtId="4" fontId="17" fillId="4" borderId="23" xfId="0" applyNumberFormat="1" applyFont="1" applyFill="1" applyBorder="1" applyAlignment="1"/>
    <xf numFmtId="4" fontId="17" fillId="4" borderId="27" xfId="0" applyNumberFormat="1" applyFont="1" applyFill="1" applyBorder="1" applyAlignment="1"/>
    <xf numFmtId="164" fontId="13" fillId="0" borderId="23" xfId="0" applyNumberFormat="1" applyFont="1" applyFill="1" applyBorder="1" applyAlignment="1">
      <alignment horizontal="center"/>
    </xf>
    <xf numFmtId="4" fontId="1" fillId="4" borderId="27" xfId="0" applyNumberFormat="1" applyFont="1" applyFill="1" applyBorder="1" applyAlignment="1"/>
    <xf numFmtId="164" fontId="13" fillId="0" borderId="16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right"/>
    </xf>
    <xf numFmtId="164" fontId="1" fillId="0" borderId="29" xfId="0" applyNumberFormat="1" applyFont="1" applyFill="1" applyBorder="1" applyAlignment="1">
      <alignment horizontal="center"/>
    </xf>
    <xf numFmtId="4" fontId="13" fillId="4" borderId="27" xfId="0" applyNumberFormat="1" applyFont="1" applyFill="1" applyBorder="1" applyAlignment="1"/>
    <xf numFmtId="164" fontId="17" fillId="0" borderId="34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center"/>
    </xf>
    <xf numFmtId="164" fontId="0" fillId="0" borderId="0" xfId="0" applyNumberFormat="1" applyFill="1"/>
    <xf numFmtId="4" fontId="13" fillId="0" borderId="23" xfId="0" applyNumberFormat="1" applyFont="1" applyFill="1" applyBorder="1" applyAlignment="1">
      <alignment horizontal="right"/>
    </xf>
    <xf numFmtId="0" fontId="68" fillId="0" borderId="0" xfId="0" applyFont="1" applyFill="1" applyBorder="1"/>
    <xf numFmtId="4" fontId="69" fillId="0" borderId="23" xfId="0" applyNumberFormat="1" applyFont="1" applyFill="1" applyBorder="1" applyAlignment="1">
      <alignment horizontal="right"/>
    </xf>
    <xf numFmtId="0" fontId="70" fillId="0" borderId="0" xfId="0" applyFont="1" applyFill="1" applyBorder="1"/>
    <xf numFmtId="0" fontId="72" fillId="0" borderId="0" xfId="0" applyFont="1" applyFill="1" applyBorder="1"/>
    <xf numFmtId="4" fontId="1" fillId="18" borderId="23" xfId="0" applyNumberFormat="1" applyFont="1" applyFill="1" applyBorder="1" applyAlignment="1">
      <alignment horizontal="center"/>
    </xf>
    <xf numFmtId="4" fontId="1" fillId="18" borderId="23" xfId="0" applyNumberFormat="1" applyFont="1" applyFill="1" applyBorder="1" applyAlignment="1"/>
    <xf numFmtId="4" fontId="1" fillId="4" borderId="39" xfId="0" applyNumberFormat="1" applyFont="1" applyFill="1" applyBorder="1" applyAlignment="1"/>
    <xf numFmtId="0" fontId="0" fillId="0" borderId="6" xfId="0" applyFill="1" applyBorder="1"/>
    <xf numFmtId="4" fontId="1" fillId="4" borderId="33" xfId="0" applyNumberFormat="1" applyFont="1" applyFill="1" applyBorder="1" applyAlignment="1"/>
    <xf numFmtId="4" fontId="0" fillId="0" borderId="34" xfId="0" applyNumberFormat="1" applyFont="1" applyFill="1" applyBorder="1" applyAlignment="1">
      <alignment horizontal="right"/>
    </xf>
    <xf numFmtId="4" fontId="0" fillId="4" borderId="11" xfId="0" applyNumberFormat="1" applyFont="1" applyFill="1" applyBorder="1" applyAlignment="1"/>
    <xf numFmtId="4" fontId="1" fillId="4" borderId="0" xfId="0" applyNumberFormat="1" applyFont="1" applyFill="1" applyBorder="1" applyAlignment="1"/>
    <xf numFmtId="0" fontId="16" fillId="0" borderId="1" xfId="0" applyFont="1" applyFill="1" applyBorder="1"/>
    <xf numFmtId="4" fontId="40" fillId="0" borderId="23" xfId="0" applyNumberFormat="1" applyFont="1" applyFill="1" applyBorder="1" applyAlignment="1">
      <alignment horizontal="center"/>
    </xf>
    <xf numFmtId="4" fontId="40" fillId="0" borderId="20" xfId="0" applyNumberFormat="1" applyFont="1" applyFill="1" applyBorder="1" applyAlignment="1"/>
    <xf numFmtId="164" fontId="40" fillId="0" borderId="23" xfId="0" applyNumberFormat="1" applyFont="1" applyFill="1" applyBorder="1" applyAlignment="1">
      <alignment horizontal="center"/>
    </xf>
    <xf numFmtId="4" fontId="17" fillId="4" borderId="22" xfId="0" applyNumberFormat="1" applyFont="1" applyFill="1" applyBorder="1" applyAlignment="1"/>
    <xf numFmtId="4" fontId="23" fillId="0" borderId="23" xfId="0" applyNumberFormat="1" applyFont="1" applyFill="1" applyBorder="1" applyAlignment="1">
      <alignment horizontal="center"/>
    </xf>
    <xf numFmtId="164" fontId="23" fillId="0" borderId="23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right"/>
    </xf>
    <xf numFmtId="164" fontId="13" fillId="0" borderId="16" xfId="0" applyNumberFormat="1" applyFont="1" applyFill="1" applyBorder="1" applyAlignment="1">
      <alignment horizontal="center"/>
    </xf>
    <xf numFmtId="0" fontId="13" fillId="0" borderId="7" xfId="0" applyFont="1" applyFill="1" applyBorder="1"/>
    <xf numFmtId="9" fontId="13" fillId="0" borderId="7" xfId="0" applyNumberFormat="1" applyFont="1" applyFill="1" applyBorder="1"/>
    <xf numFmtId="4" fontId="23" fillId="0" borderId="29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/>
    <xf numFmtId="164" fontId="23" fillId="0" borderId="29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/>
    <xf numFmtId="4" fontId="8" fillId="0" borderId="29" xfId="0" applyNumberFormat="1" applyFont="1" applyFill="1" applyBorder="1" applyAlignment="1">
      <alignment horizontal="right"/>
    </xf>
    <xf numFmtId="16" fontId="0" fillId="0" borderId="6" xfId="0" applyNumberFormat="1" applyFont="1" applyFill="1" applyBorder="1"/>
    <xf numFmtId="0" fontId="45" fillId="0" borderId="7" xfId="0" applyFont="1" applyFill="1" applyBorder="1"/>
    <xf numFmtId="4" fontId="23" fillId="0" borderId="15" xfId="0" applyNumberFormat="1" applyFont="1" applyFill="1" applyBorder="1" applyAlignment="1">
      <alignment horizontal="center"/>
    </xf>
    <xf numFmtId="4" fontId="23" fillId="0" borderId="15" xfId="0" applyNumberFormat="1" applyFont="1" applyFill="1" applyBorder="1" applyAlignment="1"/>
    <xf numFmtId="164" fontId="23" fillId="0" borderId="15" xfId="0" applyNumberFormat="1" applyFont="1" applyFill="1" applyBorder="1" applyAlignment="1">
      <alignment horizontal="center"/>
    </xf>
    <xf numFmtId="4" fontId="16" fillId="0" borderId="15" xfId="0" applyNumberFormat="1" applyFont="1" applyFill="1" applyBorder="1" applyAlignment="1"/>
    <xf numFmtId="4" fontId="16" fillId="0" borderId="15" xfId="0" applyNumberFormat="1" applyFont="1" applyFill="1" applyBorder="1" applyAlignment="1">
      <alignment horizontal="right"/>
    </xf>
    <xf numFmtId="4" fontId="16" fillId="4" borderId="7" xfId="0" applyNumberFormat="1" applyFont="1" applyFill="1" applyBorder="1" applyAlignment="1"/>
    <xf numFmtId="0" fontId="1" fillId="0" borderId="37" xfId="0" applyFont="1" applyFill="1" applyBorder="1"/>
    <xf numFmtId="4" fontId="0" fillId="0" borderId="18" xfId="0" applyNumberFormat="1" applyFont="1" applyFill="1" applyBorder="1" applyAlignment="1">
      <alignment horizontal="right"/>
    </xf>
    <xf numFmtId="4" fontId="16" fillId="0" borderId="25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/>
    <xf numFmtId="4" fontId="16" fillId="15" borderId="25" xfId="0" applyNumberFormat="1" applyFont="1" applyFill="1" applyBorder="1" applyAlignment="1">
      <alignment horizontal="center"/>
    </xf>
    <xf numFmtId="4" fontId="16" fillId="15" borderId="25" xfId="0" applyNumberFormat="1" applyFont="1" applyFill="1" applyBorder="1" applyAlignment="1"/>
    <xf numFmtId="164" fontId="16" fillId="0" borderId="25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/>
    <xf numFmtId="4" fontId="17" fillId="0" borderId="45" xfId="0" applyNumberFormat="1" applyFont="1" applyFill="1" applyBorder="1" applyAlignment="1">
      <alignment horizontal="right"/>
    </xf>
    <xf numFmtId="4" fontId="16" fillId="4" borderId="44" xfId="0" applyNumberFormat="1" applyFont="1" applyFill="1" applyBorder="1" applyAlignment="1"/>
    <xf numFmtId="4" fontId="1" fillId="16" borderId="25" xfId="0" applyNumberFormat="1" applyFont="1" applyFill="1" applyBorder="1" applyAlignment="1">
      <alignment horizontal="center"/>
    </xf>
    <xf numFmtId="4" fontId="16" fillId="16" borderId="34" xfId="0" applyNumberFormat="1" applyFont="1" applyFill="1" applyBorder="1" applyAlignment="1"/>
    <xf numFmtId="164" fontId="1" fillId="0" borderId="25" xfId="0" applyNumberFormat="1" applyFont="1" applyFill="1" applyBorder="1" applyAlignment="1">
      <alignment horizontal="center"/>
    </xf>
    <xf numFmtId="4" fontId="1" fillId="12" borderId="25" xfId="0" applyNumberFormat="1" applyFont="1" applyFill="1" applyBorder="1" applyAlignment="1">
      <alignment horizontal="center"/>
    </xf>
    <xf numFmtId="4" fontId="16" fillId="4" borderId="34" xfId="0" applyNumberFormat="1" applyFont="1" applyFill="1" applyBorder="1" applyAlignment="1"/>
    <xf numFmtId="4" fontId="16" fillId="4" borderId="35" xfId="0" applyNumberFormat="1" applyFont="1" applyFill="1" applyBorder="1" applyAlignment="1"/>
    <xf numFmtId="4" fontId="1" fillId="12" borderId="29" xfId="0" applyNumberFormat="1" applyFont="1" applyFill="1" applyBorder="1" applyAlignment="1">
      <alignment horizontal="center"/>
    </xf>
    <xf numFmtId="4" fontId="17" fillId="15" borderId="34" xfId="0" applyNumberFormat="1" applyFont="1" applyFill="1" applyBorder="1" applyAlignment="1">
      <alignment horizontal="center"/>
    </xf>
    <xf numFmtId="4" fontId="17" fillId="0" borderId="34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" fontId="17" fillId="16" borderId="20" xfId="0" applyNumberFormat="1" applyFont="1" applyFill="1" applyBorder="1" applyAlignment="1">
      <alignment horizontal="center"/>
    </xf>
    <xf numFmtId="4" fontId="17" fillId="16" borderId="2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" fontId="16" fillId="4" borderId="24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4" fontId="13" fillId="14" borderId="23" xfId="0" applyNumberFormat="1" applyFont="1" applyFill="1" applyBorder="1" applyAlignment="1">
      <alignment horizontal="center"/>
    </xf>
    <xf numFmtId="4" fontId="13" fillId="14" borderId="23" xfId="0" applyNumberFormat="1" applyFont="1" applyFill="1" applyBorder="1" applyAlignment="1"/>
    <xf numFmtId="164" fontId="13" fillId="14" borderId="29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left"/>
    </xf>
    <xf numFmtId="0" fontId="16" fillId="0" borderId="4" xfId="0" applyFont="1" applyBorder="1"/>
    <xf numFmtId="0" fontId="1" fillId="4" borderId="0" xfId="0" applyFont="1" applyFill="1" applyBorder="1" applyAlignment="1">
      <alignment horizontal="center"/>
    </xf>
    <xf numFmtId="4" fontId="17" fillId="4" borderId="34" xfId="0" applyNumberFormat="1" applyFont="1" applyFill="1" applyBorder="1" applyAlignment="1">
      <alignment horizontal="center"/>
    </xf>
    <xf numFmtId="4" fontId="17" fillId="16" borderId="34" xfId="0" applyNumberFormat="1" applyFont="1" applyFill="1" applyBorder="1" applyAlignment="1">
      <alignment horizontal="center"/>
    </xf>
    <xf numFmtId="4" fontId="17" fillId="16" borderId="23" xfId="0" applyNumberFormat="1" applyFont="1" applyFill="1" applyBorder="1" applyAlignment="1"/>
    <xf numFmtId="164" fontId="17" fillId="4" borderId="3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0" borderId="0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6" fillId="0" borderId="0" xfId="0" applyFont="1" applyBorder="1"/>
    <xf numFmtId="0" fontId="21" fillId="4" borderId="7" xfId="0" applyFont="1" applyFill="1" applyBorder="1"/>
    <xf numFmtId="0" fontId="1" fillId="0" borderId="7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0" borderId="9" xfId="0" applyFill="1" applyBorder="1"/>
    <xf numFmtId="0" fontId="23" fillId="0" borderId="12" xfId="0" applyFont="1" applyFill="1" applyBorder="1"/>
    <xf numFmtId="0" fontId="1" fillId="4" borderId="13" xfId="0" applyFont="1" applyFill="1" applyBorder="1"/>
    <xf numFmtId="0" fontId="1" fillId="19" borderId="13" xfId="0" applyFont="1" applyFill="1" applyBorder="1"/>
    <xf numFmtId="0" fontId="1" fillId="19" borderId="13" xfId="0" applyFont="1" applyFill="1" applyBorder="1" applyAlignment="1">
      <alignment horizontal="center"/>
    </xf>
    <xf numFmtId="3" fontId="23" fillId="19" borderId="9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4" fontId="1" fillId="0" borderId="6" xfId="0" applyNumberFormat="1" applyFont="1" applyBorder="1" applyAlignment="1"/>
    <xf numFmtId="164" fontId="1" fillId="0" borderId="15" xfId="0" applyNumberFormat="1" applyFont="1" applyFill="1" applyBorder="1" applyAlignment="1">
      <alignment horizontal="center"/>
    </xf>
    <xf numFmtId="4" fontId="1" fillId="12" borderId="11" xfId="0" applyNumberFormat="1" applyFont="1" applyFill="1" applyBorder="1" applyAlignment="1">
      <alignment horizontal="center"/>
    </xf>
    <xf numFmtId="4" fontId="1" fillId="4" borderId="13" xfId="0" applyNumberFormat="1" applyFont="1" applyFill="1" applyBorder="1" applyAlignment="1"/>
    <xf numFmtId="0" fontId="16" fillId="4" borderId="6" xfId="0" applyFont="1" applyFill="1" applyBorder="1"/>
    <xf numFmtId="3" fontId="16" fillId="4" borderId="0" xfId="0" applyNumberFormat="1" applyFont="1" applyFill="1" applyBorder="1"/>
    <xf numFmtId="4" fontId="16" fillId="0" borderId="11" xfId="0" applyNumberFormat="1" applyFont="1" applyBorder="1"/>
    <xf numFmtId="4" fontId="16" fillId="4" borderId="50" xfId="0" applyNumberFormat="1" applyFont="1" applyFill="1" applyBorder="1" applyAlignment="1"/>
    <xf numFmtId="4" fontId="16" fillId="0" borderId="11" xfId="0" applyNumberFormat="1" applyFont="1" applyBorder="1" applyAlignment="1"/>
    <xf numFmtId="4" fontId="16" fillId="4" borderId="11" xfId="0" applyNumberFormat="1" applyFont="1" applyFill="1" applyBorder="1" applyAlignment="1"/>
    <xf numFmtId="4" fontId="16" fillId="0" borderId="9" xfId="0" applyNumberFormat="1" applyFont="1" applyBorder="1"/>
    <xf numFmtId="4" fontId="16" fillId="18" borderId="11" xfId="0" applyNumberFormat="1" applyFont="1" applyFill="1" applyBorder="1"/>
    <xf numFmtId="4" fontId="16" fillId="16" borderId="11" xfId="0" applyNumberFormat="1" applyFont="1" applyFill="1" applyBorder="1" applyAlignment="1"/>
    <xf numFmtId="4" fontId="23" fillId="0" borderId="4" xfId="0" applyNumberFormat="1" applyFont="1" applyFill="1" applyBorder="1" applyAlignment="1"/>
    <xf numFmtId="0" fontId="23" fillId="0" borderId="9" xfId="0" applyFont="1" applyBorder="1"/>
    <xf numFmtId="0" fontId="73" fillId="0" borderId="12" xfId="0" applyFont="1" applyFill="1" applyBorder="1"/>
    <xf numFmtId="4" fontId="43" fillId="0" borderId="9" xfId="0" applyNumberFormat="1" applyFont="1" applyFill="1" applyBorder="1" applyAlignment="1"/>
    <xf numFmtId="4" fontId="43" fillId="18" borderId="9" xfId="0" applyNumberFormat="1" applyFont="1" applyFill="1" applyBorder="1" applyAlignment="1"/>
    <xf numFmtId="4" fontId="43" fillId="16" borderId="9" xfId="0" applyNumberFormat="1" applyFont="1" applyFill="1" applyBorder="1" applyAlignment="1"/>
    <xf numFmtId="4" fontId="45" fillId="0" borderId="9" xfId="0" applyNumberFormat="1" applyFont="1" applyFill="1" applyBorder="1" applyAlignment="1"/>
    <xf numFmtId="0" fontId="1" fillId="3" borderId="0" xfId="0" applyFont="1" applyFill="1"/>
    <xf numFmtId="4" fontId="1" fillId="3" borderId="0" xfId="0" applyNumberFormat="1" applyFont="1" applyFill="1"/>
    <xf numFmtId="4" fontId="1" fillId="0" borderId="0" xfId="0" applyNumberFormat="1" applyFont="1" applyFill="1"/>
    <xf numFmtId="4" fontId="1" fillId="0" borderId="0" xfId="0" applyNumberFormat="1" applyFont="1"/>
    <xf numFmtId="0" fontId="19" fillId="3" borderId="0" xfId="0" applyFont="1" applyFill="1"/>
    <xf numFmtId="4" fontId="0" fillId="3" borderId="0" xfId="0" applyNumberFormat="1" applyFill="1"/>
    <xf numFmtId="4" fontId="0" fillId="0" borderId="0" xfId="0" applyNumberFormat="1"/>
    <xf numFmtId="0" fontId="20" fillId="0" borderId="0" xfId="0" applyFont="1" applyFill="1"/>
    <xf numFmtId="0" fontId="20" fillId="13" borderId="0" xfId="0" applyFont="1" applyFill="1"/>
    <xf numFmtId="0" fontId="55" fillId="0" borderId="0" xfId="0" applyFont="1"/>
    <xf numFmtId="0" fontId="55" fillId="4" borderId="0" xfId="0" applyFont="1" applyFill="1" applyBorder="1"/>
    <xf numFmtId="0" fontId="0" fillId="9" borderId="0" xfId="0" applyFont="1" applyFill="1"/>
    <xf numFmtId="4" fontId="23" fillId="9" borderId="0" xfId="0" applyNumberFormat="1" applyFont="1" applyFill="1"/>
    <xf numFmtId="0" fontId="20" fillId="11" borderId="0" xfId="0" applyFont="1" applyFill="1" applyAlignment="1">
      <alignment horizontal="left"/>
    </xf>
    <xf numFmtId="4" fontId="16" fillId="0" borderId="10" xfId="0" applyNumberFormat="1" applyFont="1" applyBorder="1" applyAlignment="1">
      <alignment horizontal="center"/>
    </xf>
    <xf numFmtId="4" fontId="16" fillId="11" borderId="10" xfId="0" applyNumberFormat="1" applyFont="1" applyFill="1" applyBorder="1" applyAlignment="1">
      <alignment horizontal="center"/>
    </xf>
    <xf numFmtId="4" fontId="16" fillId="3" borderId="11" xfId="0" applyNumberFormat="1" applyFont="1" applyFill="1" applyBorder="1" applyAlignment="1">
      <alignment horizontal="center"/>
    </xf>
    <xf numFmtId="4" fontId="16" fillId="3" borderId="3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0" fillId="0" borderId="1" xfId="0" applyBorder="1"/>
    <xf numFmtId="0" fontId="16" fillId="4" borderId="1" xfId="0" applyFont="1" applyFill="1" applyBorder="1"/>
    <xf numFmtId="0" fontId="16" fillId="4" borderId="2" xfId="0" applyFont="1" applyFill="1" applyBorder="1"/>
    <xf numFmtId="0" fontId="16" fillId="4" borderId="3" xfId="0" applyFont="1" applyFill="1" applyBorder="1"/>
    <xf numFmtId="4" fontId="16" fillId="4" borderId="10" xfId="0" applyNumberFormat="1" applyFont="1" applyFill="1" applyBorder="1" applyAlignment="1">
      <alignment horizontal="center"/>
    </xf>
    <xf numFmtId="4" fontId="16" fillId="4" borderId="3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0" fontId="16" fillId="4" borderId="8" xfId="0" applyFont="1" applyFill="1" applyBorder="1"/>
    <xf numFmtId="4" fontId="16" fillId="4" borderId="15" xfId="0" applyNumberFormat="1" applyFont="1" applyFill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4" borderId="8" xfId="0" applyNumberFormat="1" applyFont="1" applyFill="1" applyBorder="1" applyAlignment="1">
      <alignment horizontal="center"/>
    </xf>
    <xf numFmtId="4" fontId="17" fillId="4" borderId="0" xfId="0" applyNumberFormat="1" applyFont="1" applyFill="1" applyBorder="1" applyAlignment="1">
      <alignment horizontal="center"/>
    </xf>
    <xf numFmtId="9" fontId="1" fillId="0" borderId="5" xfId="0" applyNumberFormat="1" applyFont="1" applyFill="1" applyBorder="1"/>
    <xf numFmtId="164" fontId="1" fillId="0" borderId="23" xfId="0" applyNumberFormat="1" applyFont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left"/>
    </xf>
    <xf numFmtId="4" fontId="42" fillId="0" borderId="23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6" fillId="4" borderId="4" xfId="0" applyFont="1" applyFill="1" applyBorder="1"/>
    <xf numFmtId="0" fontId="23" fillId="0" borderId="28" xfId="0" applyFont="1" applyFill="1" applyBorder="1" applyAlignment="1">
      <alignment horizontal="center"/>
    </xf>
    <xf numFmtId="4" fontId="66" fillId="0" borderId="34" xfId="0" applyNumberFormat="1" applyFont="1" applyFill="1" applyBorder="1" applyAlignment="1">
      <alignment horizontal="center"/>
    </xf>
    <xf numFmtId="4" fontId="66" fillId="0" borderId="23" xfId="0" applyNumberFormat="1" applyFont="1" applyFill="1" applyBorder="1" applyAlignment="1">
      <alignment horizontal="center"/>
    </xf>
    <xf numFmtId="4" fontId="66" fillId="0" borderId="23" xfId="0" applyNumberFormat="1" applyFont="1" applyBorder="1" applyAlignment="1">
      <alignment horizontal="center"/>
    </xf>
    <xf numFmtId="164" fontId="66" fillId="0" borderId="23" xfId="0" applyNumberFormat="1" applyFont="1" applyBorder="1" applyAlignment="1">
      <alignment horizontal="center"/>
    </xf>
    <xf numFmtId="4" fontId="66" fillId="16" borderId="23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42" fillId="0" borderId="5" xfId="0" applyFont="1" applyFill="1" applyBorder="1"/>
    <xf numFmtId="4" fontId="76" fillId="0" borderId="23" xfId="0" applyNumberFormat="1" applyFont="1" applyFill="1" applyBorder="1" applyAlignment="1">
      <alignment horizontal="center"/>
    </xf>
    <xf numFmtId="0" fontId="46" fillId="0" borderId="0" xfId="0" applyFont="1" applyBorder="1"/>
    <xf numFmtId="0" fontId="21" fillId="0" borderId="14" xfId="0" applyFont="1" applyFill="1" applyBorder="1"/>
    <xf numFmtId="0" fontId="21" fillId="0" borderId="0" xfId="0" applyFont="1" applyFill="1"/>
    <xf numFmtId="0" fontId="16" fillId="0" borderId="8" xfId="0" applyFont="1" applyFill="1" applyBorder="1"/>
    <xf numFmtId="0" fontId="0" fillId="0" borderId="12" xfId="0" applyBorder="1"/>
    <xf numFmtId="0" fontId="16" fillId="4" borderId="13" xfId="0" applyFont="1" applyFill="1" applyBorder="1"/>
    <xf numFmtId="0" fontId="16" fillId="0" borderId="13" xfId="0" applyFont="1" applyFill="1" applyBorder="1"/>
    <xf numFmtId="4" fontId="16" fillId="0" borderId="9" xfId="0" applyNumberFormat="1" applyFont="1" applyFill="1" applyBorder="1" applyAlignment="1">
      <alignment horizontal="center"/>
    </xf>
    <xf numFmtId="4" fontId="16" fillId="4" borderId="9" xfId="0" applyNumberFormat="1" applyFont="1" applyFill="1" applyBorder="1" applyAlignment="1">
      <alignment horizontal="center"/>
    </xf>
    <xf numFmtId="4" fontId="16" fillId="16" borderId="9" xfId="0" applyNumberFormat="1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7" fillId="4" borderId="12" xfId="0" applyFont="1" applyFill="1" applyBorder="1"/>
    <xf numFmtId="4" fontId="73" fillId="0" borderId="3" xfId="0" applyNumberFormat="1" applyFont="1" applyFill="1" applyBorder="1" applyAlignment="1">
      <alignment horizontal="right"/>
    </xf>
    <xf numFmtId="4" fontId="43" fillId="0" borderId="52" xfId="0" applyNumberFormat="1" applyFont="1" applyFill="1" applyBorder="1" applyAlignment="1">
      <alignment horizontal="center"/>
    </xf>
    <xf numFmtId="4" fontId="43" fillId="0" borderId="51" xfId="0" applyNumberFormat="1" applyFont="1" applyFill="1" applyBorder="1" applyAlignment="1">
      <alignment horizontal="center"/>
    </xf>
    <xf numFmtId="4" fontId="43" fillId="0" borderId="48" xfId="0" applyNumberFormat="1" applyFont="1" applyFill="1" applyBorder="1" applyAlignment="1">
      <alignment horizontal="center"/>
    </xf>
    <xf numFmtId="4" fontId="43" fillId="0" borderId="49" xfId="0" applyNumberFormat="1" applyFont="1" applyFill="1" applyBorder="1" applyAlignment="1">
      <alignment horizontal="center"/>
    </xf>
    <xf numFmtId="4" fontId="43" fillId="18" borderId="51" xfId="0" applyNumberFormat="1" applyFont="1" applyFill="1" applyBorder="1" applyAlignment="1">
      <alignment horizontal="center"/>
    </xf>
    <xf numFmtId="4" fontId="79" fillId="0" borderId="3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16" fillId="3" borderId="51" xfId="0" applyFont="1" applyFill="1" applyBorder="1"/>
    <xf numFmtId="0" fontId="16" fillId="3" borderId="56" xfId="0" applyFont="1" applyFill="1" applyBorder="1"/>
    <xf numFmtId="4" fontId="78" fillId="3" borderId="33" xfId="0" applyNumberFormat="1" applyFont="1" applyFill="1" applyBorder="1" applyAlignment="1">
      <alignment horizontal="center"/>
    </xf>
    <xf numFmtId="4" fontId="80" fillId="3" borderId="3" xfId="0" applyNumberFormat="1" applyFont="1" applyFill="1" applyBorder="1" applyAlignment="1">
      <alignment horizontal="center"/>
    </xf>
    <xf numFmtId="4" fontId="80" fillId="3" borderId="10" xfId="0" applyNumberFormat="1" applyFont="1" applyFill="1" applyBorder="1" applyAlignment="1">
      <alignment horizontal="center"/>
    </xf>
    <xf numFmtId="4" fontId="19" fillId="3" borderId="52" xfId="0" applyNumberFormat="1" applyFont="1" applyFill="1" applyBorder="1" applyAlignment="1">
      <alignment horizontal="center"/>
    </xf>
    <xf numFmtId="4" fontId="73" fillId="0" borderId="38" xfId="0" applyNumberFormat="1" applyFont="1" applyFill="1" applyBorder="1" applyAlignment="1">
      <alignment horizontal="right"/>
    </xf>
    <xf numFmtId="4" fontId="43" fillId="9" borderId="27" xfId="0" applyNumberFormat="1" applyFont="1" applyFill="1" applyBorder="1" applyAlignment="1">
      <alignment horizontal="center"/>
    </xf>
    <xf numFmtId="0" fontId="0" fillId="9" borderId="27" xfId="0" applyFill="1" applyBorder="1"/>
    <xf numFmtId="4" fontId="23" fillId="0" borderId="0" xfId="0" applyNumberFormat="1" applyFont="1" applyFill="1" applyBorder="1" applyAlignment="1">
      <alignment horizontal="center"/>
    </xf>
    <xf numFmtId="4" fontId="82" fillId="0" borderId="0" xfId="0" applyNumberFormat="1" applyFont="1" applyFill="1" applyBorder="1" applyAlignment="1">
      <alignment horizontal="center"/>
    </xf>
    <xf numFmtId="4" fontId="8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4" fontId="27" fillId="0" borderId="0" xfId="0" applyNumberFormat="1" applyFont="1" applyFill="1" applyBorder="1"/>
    <xf numFmtId="0" fontId="83" fillId="0" borderId="0" xfId="0" applyFont="1" applyFill="1"/>
    <xf numFmtId="0" fontId="20" fillId="4" borderId="0" xfId="0" applyFont="1" applyFill="1" applyBorder="1"/>
    <xf numFmtId="4" fontId="11" fillId="0" borderId="0" xfId="0" applyNumberFormat="1" applyFont="1"/>
    <xf numFmtId="4" fontId="20" fillId="0" borderId="0" xfId="0" applyNumberFormat="1" applyFont="1" applyBorder="1" applyAlignment="1">
      <alignment horizontal="center"/>
    </xf>
    <xf numFmtId="4" fontId="20" fillId="4" borderId="0" xfId="0" applyNumberFormat="1" applyFont="1" applyFill="1" applyBorder="1" applyAlignment="1">
      <alignment horizontal="center"/>
    </xf>
    <xf numFmtId="4" fontId="11" fillId="3" borderId="0" xfId="0" applyNumberFormat="1" applyFont="1" applyFill="1"/>
    <xf numFmtId="4" fontId="17" fillId="0" borderId="0" xfId="0" applyNumberFormat="1" applyFont="1"/>
    <xf numFmtId="4" fontId="0" fillId="0" borderId="0" xfId="0" applyNumberFormat="1" applyFont="1"/>
    <xf numFmtId="4" fontId="17" fillId="0" borderId="0" xfId="0" applyNumberFormat="1" applyFont="1" applyFill="1"/>
    <xf numFmtId="4" fontId="20" fillId="0" borderId="0" xfId="0" applyNumberFormat="1" applyFont="1" applyFill="1" applyBorder="1"/>
    <xf numFmtId="0" fontId="24" fillId="4" borderId="0" xfId="0" applyFont="1" applyFill="1" applyBorder="1"/>
    <xf numFmtId="0" fontId="84" fillId="0" borderId="0" xfId="0" applyFont="1"/>
    <xf numFmtId="0" fontId="23" fillId="0" borderId="0" xfId="0" applyFont="1"/>
    <xf numFmtId="4" fontId="23" fillId="0" borderId="0" xfId="0" applyNumberFormat="1" applyFont="1"/>
    <xf numFmtId="4" fontId="20" fillId="0" borderId="9" xfId="0" applyNumberFormat="1" applyFont="1" applyBorder="1"/>
    <xf numFmtId="4" fontId="20" fillId="0" borderId="12" xfId="0" applyNumberFormat="1" applyFont="1" applyBorder="1"/>
    <xf numFmtId="4" fontId="16" fillId="3" borderId="13" xfId="0" applyNumberFormat="1" applyFont="1" applyFill="1" applyBorder="1"/>
    <xf numFmtId="4" fontId="16" fillId="4" borderId="5" xfId="0" applyNumberFormat="1" applyFont="1" applyFill="1" applyBorder="1" applyAlignment="1">
      <alignment horizontal="center"/>
    </xf>
    <xf numFmtId="4" fontId="16" fillId="0" borderId="4" xfId="0" applyNumberFormat="1" applyFont="1" applyBorder="1" applyAlignment="1">
      <alignment horizontal="center"/>
    </xf>
    <xf numFmtId="4" fontId="16" fillId="4" borderId="11" xfId="0" applyNumberFormat="1" applyFont="1" applyFill="1" applyBorder="1" applyAlignment="1">
      <alignment horizontal="center"/>
    </xf>
    <xf numFmtId="4" fontId="16" fillId="4" borderId="41" xfId="0" applyNumberFormat="1" applyFont="1" applyFill="1" applyBorder="1" applyAlignment="1">
      <alignment horizontal="center"/>
    </xf>
    <xf numFmtId="4" fontId="16" fillId="0" borderId="35" xfId="0" applyNumberFormat="1" applyFont="1" applyBorder="1" applyAlignment="1">
      <alignment horizontal="center"/>
    </xf>
    <xf numFmtId="4" fontId="16" fillId="4" borderId="34" xfId="0" applyNumberFormat="1" applyFont="1" applyFill="1" applyBorder="1" applyAlignment="1">
      <alignment horizontal="center"/>
    </xf>
    <xf numFmtId="0" fontId="85" fillId="0" borderId="1" xfId="0" applyFont="1" applyBorder="1"/>
    <xf numFmtId="0" fontId="43" fillId="0" borderId="2" xfId="0" applyFont="1" applyBorder="1"/>
    <xf numFmtId="0" fontId="43" fillId="0" borderId="3" xfId="0" applyFont="1" applyBorder="1"/>
    <xf numFmtId="4" fontId="1" fillId="0" borderId="26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21" xfId="0" applyBorder="1"/>
    <xf numFmtId="0" fontId="16" fillId="0" borderId="1" xfId="0" applyFont="1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4" fontId="16" fillId="21" borderId="23" xfId="0" applyNumberFormat="1" applyFont="1" applyFill="1" applyBorder="1" applyAlignment="1">
      <alignment horizontal="center"/>
    </xf>
    <xf numFmtId="4" fontId="16" fillId="21" borderId="24" xfId="0" applyNumberFormat="1" applyFont="1" applyFill="1" applyBorder="1" applyAlignment="1">
      <alignment horizontal="center"/>
    </xf>
    <xf numFmtId="4" fontId="16" fillId="4" borderId="24" xfId="0" applyNumberFormat="1" applyFont="1" applyFill="1" applyBorder="1" applyAlignment="1">
      <alignment horizontal="center"/>
    </xf>
    <xf numFmtId="0" fontId="0" fillId="0" borderId="26" xfId="0" applyBorder="1"/>
    <xf numFmtId="0" fontId="0" fillId="0" borderId="24" xfId="0" applyBorder="1"/>
    <xf numFmtId="0" fontId="1" fillId="0" borderId="27" xfId="0" applyFont="1" applyBorder="1"/>
    <xf numFmtId="0" fontId="0" fillId="0" borderId="27" xfId="0" applyBorder="1"/>
    <xf numFmtId="0" fontId="13" fillId="0" borderId="23" xfId="0" applyFont="1" applyBorder="1"/>
    <xf numFmtId="0" fontId="13" fillId="0" borderId="26" xfId="0" applyFont="1" applyBorder="1"/>
    <xf numFmtId="0" fontId="87" fillId="5" borderId="27" xfId="0" applyFont="1" applyFill="1" applyBorder="1"/>
    <xf numFmtId="0" fontId="48" fillId="5" borderId="27" xfId="0" applyFont="1" applyFill="1" applyBorder="1"/>
    <xf numFmtId="0" fontId="48" fillId="5" borderId="26" xfId="0" applyFont="1" applyFill="1" applyBorder="1"/>
    <xf numFmtId="0" fontId="87" fillId="0" borderId="27" xfId="0" applyFont="1" applyFill="1" applyBorder="1"/>
    <xf numFmtId="0" fontId="48" fillId="0" borderId="27" xfId="0" applyFont="1" applyFill="1" applyBorder="1"/>
    <xf numFmtId="0" fontId="48" fillId="0" borderId="26" xfId="0" applyFont="1" applyFill="1" applyBorder="1"/>
    <xf numFmtId="165" fontId="21" fillId="0" borderId="23" xfId="0" applyNumberFormat="1" applyFont="1" applyFill="1" applyBorder="1"/>
    <xf numFmtId="0" fontId="0" fillId="0" borderId="23" xfId="0" applyBorder="1"/>
    <xf numFmtId="0" fontId="0" fillId="0" borderId="8" xfId="0" applyBorder="1"/>
    <xf numFmtId="4" fontId="1" fillId="4" borderId="24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32" xfId="0" applyBorder="1"/>
    <xf numFmtId="0" fontId="18" fillId="0" borderId="1" xfId="0" applyFont="1" applyBorder="1"/>
    <xf numFmtId="4" fontId="17" fillId="0" borderId="34" xfId="0" applyNumberFormat="1" applyFont="1" applyBorder="1"/>
    <xf numFmtId="0" fontId="0" fillId="0" borderId="5" xfId="0" applyBorder="1"/>
    <xf numFmtId="165" fontId="21" fillId="5" borderId="23" xfId="0" applyNumberFormat="1" applyFont="1" applyFill="1" applyBorder="1"/>
    <xf numFmtId="0" fontId="16" fillId="0" borderId="6" xfId="0" applyFont="1" applyBorder="1"/>
    <xf numFmtId="4" fontId="1" fillId="0" borderId="4" xfId="0" applyNumberFormat="1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0" fontId="70" fillId="0" borderId="2" xfId="0" applyFont="1" applyFill="1" applyBorder="1"/>
    <xf numFmtId="0" fontId="21" fillId="5" borderId="4" xfId="0" applyFont="1" applyFill="1" applyBorder="1"/>
    <xf numFmtId="0" fontId="62" fillId="5" borderId="0" xfId="0" applyFont="1" applyFill="1" applyBorder="1"/>
    <xf numFmtId="0" fontId="42" fillId="0" borderId="4" xfId="0" applyFont="1" applyBorder="1"/>
    <xf numFmtId="0" fontId="42" fillId="0" borderId="0" xfId="0" applyFont="1" applyBorder="1"/>
    <xf numFmtId="0" fontId="1" fillId="0" borderId="5" xfId="0" applyFont="1" applyBorder="1"/>
    <xf numFmtId="0" fontId="1" fillId="0" borderId="26" xfId="0" applyFont="1" applyBorder="1"/>
    <xf numFmtId="0" fontId="13" fillId="0" borderId="0" xfId="0" applyFont="1" applyBorder="1"/>
    <xf numFmtId="0" fontId="17" fillId="0" borderId="0" xfId="0" applyFont="1" applyBorder="1"/>
    <xf numFmtId="165" fontId="42" fillId="0" borderId="23" xfId="0" applyNumberFormat="1" applyFont="1" applyBorder="1"/>
    <xf numFmtId="0" fontId="17" fillId="0" borderId="4" xfId="0" applyFont="1" applyBorder="1"/>
    <xf numFmtId="4" fontId="16" fillId="16" borderId="24" xfId="0" applyNumberFormat="1" applyFont="1" applyFill="1" applyBorder="1" applyAlignment="1">
      <alignment horizontal="center"/>
    </xf>
    <xf numFmtId="165" fontId="76" fillId="0" borderId="23" xfId="0" applyNumberFormat="1" applyFont="1" applyBorder="1"/>
    <xf numFmtId="3" fontId="89" fillId="0" borderId="26" xfId="0" applyNumberFormat="1" applyFont="1" applyBorder="1"/>
    <xf numFmtId="165" fontId="42" fillId="0" borderId="18" xfId="0" applyNumberFormat="1" applyFont="1" applyBorder="1"/>
    <xf numFmtId="165" fontId="17" fillId="0" borderId="20" xfId="0" applyNumberFormat="1" applyFont="1" applyBorder="1"/>
    <xf numFmtId="0" fontId="0" fillId="0" borderId="4" xfId="0" applyFont="1" applyBorder="1" applyAlignment="1"/>
    <xf numFmtId="0" fontId="0" fillId="0" borderId="0" xfId="0" applyFont="1" applyBorder="1" applyAlignment="1"/>
    <xf numFmtId="0" fontId="36" fillId="5" borderId="0" xfId="0" applyFont="1" applyFill="1" applyBorder="1"/>
    <xf numFmtId="165" fontId="42" fillId="0" borderId="23" xfId="0" applyNumberFormat="1" applyFont="1" applyFill="1" applyBorder="1"/>
    <xf numFmtId="165" fontId="42" fillId="5" borderId="41" xfId="0" applyNumberFormat="1" applyFont="1" applyFill="1" applyBorder="1"/>
    <xf numFmtId="165" fontId="17" fillId="0" borderId="34" xfId="0" applyNumberFormat="1" applyFont="1" applyBorder="1"/>
    <xf numFmtId="0" fontId="1" fillId="4" borderId="5" xfId="0" applyFont="1" applyFill="1" applyBorder="1"/>
    <xf numFmtId="0" fontId="1" fillId="0" borderId="4" xfId="0" applyFont="1" applyBorder="1"/>
    <xf numFmtId="0" fontId="1" fillId="0" borderId="24" xfId="0" applyFont="1" applyBorder="1"/>
    <xf numFmtId="0" fontId="46" fillId="0" borderId="27" xfId="0" applyFont="1" applyBorder="1"/>
    <xf numFmtId="0" fontId="1" fillId="0" borderId="6" xfId="0" applyFont="1" applyBorder="1"/>
    <xf numFmtId="0" fontId="46" fillId="0" borderId="7" xfId="0" applyFont="1" applyBorder="1"/>
    <xf numFmtId="0" fontId="1" fillId="0" borderId="7" xfId="0" applyFont="1" applyBorder="1"/>
    <xf numFmtId="0" fontId="1" fillId="0" borderId="8" xfId="0" applyFont="1" applyBorder="1"/>
    <xf numFmtId="165" fontId="42" fillId="0" borderId="29" xfId="0" applyNumberFormat="1" applyFont="1" applyBorder="1"/>
    <xf numFmtId="0" fontId="1" fillId="5" borderId="0" xfId="0" applyFont="1" applyFill="1" applyBorder="1"/>
    <xf numFmtId="0" fontId="91" fillId="0" borderId="5" xfId="0" applyFont="1" applyBorder="1" applyAlignment="1"/>
    <xf numFmtId="0" fontId="91" fillId="17" borderId="5" xfId="0" applyFont="1" applyFill="1" applyBorder="1" applyAlignment="1"/>
    <xf numFmtId="0" fontId="0" fillId="5" borderId="4" xfId="0" applyFont="1" applyFill="1" applyBorder="1"/>
    <xf numFmtId="0" fontId="0" fillId="5" borderId="0" xfId="0" applyFont="1" applyFill="1" applyBorder="1"/>
    <xf numFmtId="0" fontId="92" fillId="5" borderId="27" xfId="0" applyFont="1" applyFill="1" applyBorder="1" applyAlignment="1">
      <alignment horizontal="left"/>
    </xf>
    <xf numFmtId="4" fontId="1" fillId="0" borderId="4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165" fontId="42" fillId="5" borderId="18" xfId="0" applyNumberFormat="1" applyFont="1" applyFill="1" applyBorder="1"/>
    <xf numFmtId="0" fontId="62" fillId="0" borderId="0" xfId="0" applyFont="1" applyFill="1" applyBorder="1"/>
    <xf numFmtId="0" fontId="0" fillId="4" borderId="24" xfId="0" applyFont="1" applyFill="1" applyBorder="1"/>
    <xf numFmtId="0" fontId="13" fillId="0" borderId="17" xfId="0" applyFont="1" applyBorder="1"/>
    <xf numFmtId="0" fontId="1" fillId="0" borderId="17" xfId="0" applyFont="1" applyBorder="1"/>
    <xf numFmtId="0" fontId="1" fillId="0" borderId="43" xfId="0" applyFont="1" applyBorder="1"/>
    <xf numFmtId="165" fontId="16" fillId="0" borderId="18" xfId="0" applyNumberFormat="1" applyFont="1" applyBorder="1"/>
    <xf numFmtId="0" fontId="85" fillId="4" borderId="1" xfId="0" applyFont="1" applyFill="1" applyBorder="1"/>
    <xf numFmtId="0" fontId="13" fillId="0" borderId="2" xfId="0" applyFont="1" applyBorder="1"/>
    <xf numFmtId="4" fontId="1" fillId="0" borderId="5" xfId="0" applyNumberFormat="1" applyFont="1" applyFill="1" applyBorder="1" applyAlignment="1">
      <alignment horizontal="center"/>
    </xf>
    <xf numFmtId="4" fontId="1" fillId="4" borderId="11" xfId="0" applyNumberFormat="1" applyFont="1" applyFill="1" applyBorder="1" applyAlignment="1">
      <alignment horizontal="center"/>
    </xf>
    <xf numFmtId="0" fontId="88" fillId="0" borderId="0" xfId="0" applyFont="1" applyBorder="1"/>
    <xf numFmtId="0" fontId="93" fillId="0" borderId="0" xfId="0" applyFont="1" applyBorder="1"/>
    <xf numFmtId="0" fontId="93" fillId="0" borderId="5" xfId="0" applyFont="1" applyBorder="1"/>
    <xf numFmtId="165" fontId="16" fillId="0" borderId="23" xfId="0" applyNumberFormat="1" applyFont="1" applyBorder="1"/>
    <xf numFmtId="0" fontId="88" fillId="0" borderId="7" xfId="0" applyFont="1" applyBorder="1"/>
    <xf numFmtId="0" fontId="93" fillId="0" borderId="7" xfId="0" applyFont="1" applyBorder="1"/>
    <xf numFmtId="0" fontId="93" fillId="0" borderId="8" xfId="0" applyFont="1" applyBorder="1"/>
    <xf numFmtId="165" fontId="16" fillId="0" borderId="29" xfId="0" applyNumberFormat="1" applyFont="1" applyBorder="1"/>
    <xf numFmtId="0" fontId="93" fillId="4" borderId="1" xfId="0" applyFont="1" applyFill="1" applyBorder="1"/>
    <xf numFmtId="0" fontId="88" fillId="0" borderId="2" xfId="0" applyFont="1" applyBorder="1"/>
    <xf numFmtId="0" fontId="93" fillId="0" borderId="2" xfId="0" applyFont="1" applyBorder="1"/>
    <xf numFmtId="0" fontId="93" fillId="0" borderId="3" xfId="0" applyFont="1" applyBorder="1"/>
    <xf numFmtId="0" fontId="0" fillId="4" borderId="4" xfId="0" applyFont="1" applyFill="1" applyBorder="1"/>
    <xf numFmtId="165" fontId="16" fillId="0" borderId="24" xfId="0" applyNumberFormat="1" applyFont="1" applyBorder="1"/>
    <xf numFmtId="0" fontId="13" fillId="0" borderId="7" xfId="0" applyFont="1" applyBorder="1"/>
    <xf numFmtId="165" fontId="16" fillId="0" borderId="4" xfId="0" applyNumberFormat="1" applyFont="1" applyBorder="1"/>
    <xf numFmtId="0" fontId="85" fillId="4" borderId="4" xfId="0" applyFont="1" applyFill="1" applyBorder="1"/>
    <xf numFmtId="165" fontId="17" fillId="0" borderId="57" xfId="0" applyNumberFormat="1" applyFont="1" applyBorder="1"/>
    <xf numFmtId="165" fontId="16" fillId="0" borderId="42" xfId="0" applyNumberFormat="1" applyFont="1" applyBorder="1"/>
    <xf numFmtId="165" fontId="16" fillId="0" borderId="59" xfId="0" applyNumberFormat="1" applyFont="1" applyBorder="1"/>
    <xf numFmtId="0" fontId="10" fillId="4" borderId="7" xfId="0" applyFont="1" applyFill="1" applyBorder="1"/>
    <xf numFmtId="0" fontId="17" fillId="0" borderId="15" xfId="0" applyFont="1" applyBorder="1"/>
    <xf numFmtId="4" fontId="0" fillId="0" borderId="12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16" fillId="21" borderId="9" xfId="0" applyNumberFormat="1" applyFont="1" applyFill="1" applyBorder="1" applyAlignment="1">
      <alignment horizontal="center"/>
    </xf>
    <xf numFmtId="4" fontId="16" fillId="21" borderId="12" xfId="0" applyNumberFormat="1" applyFont="1" applyFill="1" applyBorder="1" applyAlignment="1">
      <alignment horizontal="center"/>
    </xf>
    <xf numFmtId="4" fontId="16" fillId="4" borderId="12" xfId="0" applyNumberFormat="1" applyFont="1" applyFill="1" applyBorder="1" applyAlignment="1">
      <alignment horizontal="center"/>
    </xf>
    <xf numFmtId="0" fontId="0" fillId="0" borderId="52" xfId="0" applyBorder="1"/>
    <xf numFmtId="0" fontId="21" fillId="0" borderId="0" xfId="0" applyFont="1" applyBorder="1"/>
    <xf numFmtId="0" fontId="42" fillId="5" borderId="0" xfId="0" applyFont="1" applyFill="1" applyBorder="1"/>
    <xf numFmtId="0" fontId="18" fillId="0" borderId="12" xfId="0" applyFont="1" applyBorder="1"/>
    <xf numFmtId="0" fontId="18" fillId="0" borderId="13" xfId="0" applyFont="1" applyBorder="1"/>
    <xf numFmtId="0" fontId="18" fillId="4" borderId="13" xfId="0" applyFont="1" applyFill="1" applyBorder="1"/>
    <xf numFmtId="0" fontId="18" fillId="0" borderId="13" xfId="0" applyFont="1" applyFill="1" applyBorder="1"/>
    <xf numFmtId="0" fontId="18" fillId="0" borderId="14" xfId="0" applyFont="1" applyBorder="1"/>
    <xf numFmtId="0" fontId="17" fillId="0" borderId="9" xfId="0" applyFont="1" applyBorder="1"/>
    <xf numFmtId="4" fontId="16" fillId="0" borderId="52" xfId="0" applyNumberFormat="1" applyFont="1" applyBorder="1" applyAlignment="1">
      <alignment horizontal="center"/>
    </xf>
    <xf numFmtId="4" fontId="16" fillId="0" borderId="62" xfId="0" applyNumberFormat="1" applyFont="1" applyBorder="1" applyAlignment="1">
      <alignment horizontal="center"/>
    </xf>
    <xf numFmtId="4" fontId="16" fillId="0" borderId="9" xfId="0" applyNumberFormat="1" applyFont="1" applyBorder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165" fontId="16" fillId="0" borderId="9" xfId="0" applyNumberFormat="1" applyFont="1" applyBorder="1"/>
    <xf numFmtId="4" fontId="0" fillId="0" borderId="14" xfId="0" applyNumberFormat="1" applyBorder="1"/>
    <xf numFmtId="0" fontId="65" fillId="0" borderId="0" xfId="0" applyFont="1" applyFill="1" applyBorder="1"/>
    <xf numFmtId="0" fontId="92" fillId="0" borderId="0" xfId="0" applyFont="1" applyFill="1" applyBorder="1" applyAlignment="1">
      <alignment horizontal="center"/>
    </xf>
    <xf numFmtId="4" fontId="13" fillId="0" borderId="0" xfId="0" applyNumberFormat="1" applyFont="1"/>
    <xf numFmtId="0" fontId="65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6" fillId="0" borderId="0" xfId="0" applyNumberFormat="1" applyFont="1" applyBorder="1"/>
    <xf numFmtId="0" fontId="18" fillId="0" borderId="0" xfId="0" applyFont="1" applyFill="1"/>
    <xf numFmtId="0" fontId="18" fillId="0" borderId="0" xfId="0" applyFont="1" applyFill="1" applyBorder="1"/>
    <xf numFmtId="0" fontId="23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36" fillId="2" borderId="12" xfId="0" applyFont="1" applyFill="1" applyBorder="1"/>
    <xf numFmtId="0" fontId="1" fillId="2" borderId="13" xfId="0" applyFont="1" applyFill="1" applyBorder="1"/>
    <xf numFmtId="0" fontId="8" fillId="2" borderId="13" xfId="0" applyFont="1" applyFill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6" fillId="0" borderId="13" xfId="0" applyNumberFormat="1" applyFont="1" applyBorder="1"/>
    <xf numFmtId="0" fontId="0" fillId="0" borderId="13" xfId="0" applyBorder="1"/>
    <xf numFmtId="0" fontId="17" fillId="0" borderId="4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164" fontId="17" fillId="0" borderId="0" xfId="0" applyNumberFormat="1" applyFont="1" applyFill="1" applyBorder="1" applyAlignment="1">
      <alignment horizontal="center"/>
    </xf>
    <xf numFmtId="4" fontId="16" fillId="15" borderId="0" xfId="0" applyNumberFormat="1" applyFont="1" applyFill="1" applyBorder="1" applyAlignment="1">
      <alignment horizontal="center"/>
    </xf>
    <xf numFmtId="4" fontId="1" fillId="15" borderId="0" xfId="0" applyNumberFormat="1" applyFont="1" applyFill="1" applyBorder="1" applyAlignment="1"/>
    <xf numFmtId="4" fontId="1" fillId="16" borderId="0" xfId="0" applyNumberFormat="1" applyFont="1" applyFill="1" applyBorder="1" applyAlignment="1">
      <alignment horizontal="center"/>
    </xf>
    <xf numFmtId="4" fontId="1" fillId="16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4" fontId="1" fillId="12" borderId="0" xfId="0" applyNumberFormat="1" applyFont="1" applyFill="1" applyBorder="1" applyAlignment="1">
      <alignment horizontal="center"/>
    </xf>
    <xf numFmtId="4" fontId="13" fillId="4" borderId="26" xfId="0" applyNumberFormat="1" applyFont="1" applyFill="1" applyBorder="1" applyAlignment="1"/>
    <xf numFmtId="4" fontId="1" fillId="15" borderId="0" xfId="0" applyNumberFormat="1" applyFont="1" applyFill="1" applyBorder="1" applyAlignment="1">
      <alignment horizontal="center"/>
    </xf>
    <xf numFmtId="4" fontId="52" fillId="0" borderId="23" xfId="0" applyNumberFormat="1" applyFont="1" applyFill="1" applyBorder="1" applyAlignment="1">
      <alignment horizontal="center"/>
    </xf>
    <xf numFmtId="4" fontId="52" fillId="4" borderId="26" xfId="0" applyNumberFormat="1" applyFont="1" applyFill="1" applyBorder="1" applyAlignment="1"/>
    <xf numFmtId="4" fontId="66" fillId="4" borderId="26" xfId="0" applyNumberFormat="1" applyFont="1" applyFill="1" applyBorder="1" applyAlignment="1"/>
    <xf numFmtId="0" fontId="21" fillId="0" borderId="7" xfId="0" applyFont="1" applyBorder="1"/>
    <xf numFmtId="4" fontId="1" fillId="0" borderId="7" xfId="0" applyNumberFormat="1" applyFont="1" applyBorder="1"/>
    <xf numFmtId="0" fontId="0" fillId="0" borderId="18" xfId="0" applyBorder="1"/>
    <xf numFmtId="0" fontId="0" fillId="0" borderId="9" xfId="0" applyBorder="1"/>
    <xf numFmtId="0" fontId="16" fillId="0" borderId="12" xfId="0" applyFont="1" applyBorder="1"/>
    <xf numFmtId="0" fontId="1" fillId="0" borderId="13" xfId="0" applyFont="1" applyBorder="1"/>
    <xf numFmtId="4" fontId="1" fillId="0" borderId="13" xfId="0" applyNumberFormat="1" applyFont="1" applyBorder="1"/>
    <xf numFmtId="4" fontId="0" fillId="0" borderId="9" xfId="0" applyNumberFormat="1" applyBorder="1"/>
    <xf numFmtId="4" fontId="0" fillId="0" borderId="8" xfId="0" applyNumberFormat="1" applyBorder="1"/>
    <xf numFmtId="0" fontId="10" fillId="0" borderId="0" xfId="0" applyFont="1" applyAlignment="1">
      <alignment horizontal="center"/>
    </xf>
    <xf numFmtId="0" fontId="8" fillId="6" borderId="11" xfId="0" applyFont="1" applyFill="1" applyBorder="1"/>
    <xf numFmtId="0" fontId="17" fillId="6" borderId="18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8" fillId="22" borderId="11" xfId="0" applyFont="1" applyFill="1" applyBorder="1"/>
    <xf numFmtId="0" fontId="17" fillId="22" borderId="18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4" fontId="0" fillId="0" borderId="5" xfId="0" applyNumberFormat="1" applyFont="1" applyFill="1" applyBorder="1" applyAlignment="1"/>
    <xf numFmtId="0" fontId="0" fillId="6" borderId="0" xfId="0" applyFill="1"/>
    <xf numFmtId="0" fontId="13" fillId="6" borderId="0" xfId="0" applyFont="1" applyFill="1"/>
    <xf numFmtId="0" fontId="17" fillId="6" borderId="0" xfId="0" applyFont="1" applyFill="1"/>
    <xf numFmtId="0" fontId="0" fillId="0" borderId="0" xfId="0" applyFill="1"/>
    <xf numFmtId="0" fontId="17" fillId="0" borderId="0" xfId="0" applyFont="1" applyFill="1"/>
    <xf numFmtId="0" fontId="16" fillId="4" borderId="0" xfId="0" applyFont="1" applyFill="1" applyBorder="1"/>
    <xf numFmtId="0" fontId="16" fillId="0" borderId="2" xfId="0" applyFont="1" applyFill="1" applyBorder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43" fillId="0" borderId="0" xfId="0" applyFont="1" applyFill="1" applyBorder="1"/>
    <xf numFmtId="4" fontId="17" fillId="0" borderId="34" xfId="0" applyNumberFormat="1" applyFont="1" applyFill="1" applyBorder="1" applyAlignment="1"/>
    <xf numFmtId="0" fontId="16" fillId="0" borderId="0" xfId="0" applyFont="1" applyFill="1" applyBorder="1"/>
    <xf numFmtId="0" fontId="16" fillId="0" borderId="7" xfId="0" applyFont="1" applyFill="1" applyBorder="1"/>
    <xf numFmtId="0" fontId="1" fillId="0" borderId="2" xfId="0" applyFont="1" applyFill="1" applyBorder="1"/>
    <xf numFmtId="0" fontId="1" fillId="0" borderId="0" xfId="0" applyFont="1" applyFill="1"/>
    <xf numFmtId="0" fontId="8" fillId="0" borderId="4" xfId="0" applyFont="1" applyFill="1" applyBorder="1"/>
    <xf numFmtId="4" fontId="1" fillId="0" borderId="11" xfId="0" applyNumberFormat="1" applyFont="1" applyFill="1" applyBorder="1"/>
    <xf numFmtId="0" fontId="1" fillId="0" borderId="4" xfId="0" applyFont="1" applyFill="1" applyBorder="1"/>
    <xf numFmtId="4" fontId="17" fillId="0" borderId="23" xfId="0" applyNumberFormat="1" applyFont="1" applyFill="1" applyBorder="1" applyAlignment="1"/>
    <xf numFmtId="4" fontId="17" fillId="4" borderId="23" xfId="0" applyNumberFormat="1" applyFont="1" applyFill="1" applyBorder="1" applyAlignment="1"/>
    <xf numFmtId="4" fontId="1" fillId="0" borderId="0" xfId="0" applyNumberFormat="1" applyFont="1" applyFill="1"/>
    <xf numFmtId="0" fontId="16" fillId="4" borderId="13" xfId="0" applyFont="1" applyFill="1" applyBorder="1"/>
    <xf numFmtId="0" fontId="16" fillId="4" borderId="4" xfId="0" applyFont="1" applyFill="1" applyBorder="1"/>
    <xf numFmtId="0" fontId="46" fillId="0" borderId="0" xfId="0" applyFont="1" applyFill="1" applyBorder="1"/>
    <xf numFmtId="0" fontId="16" fillId="0" borderId="0" xfId="0" applyFont="1" applyFill="1"/>
    <xf numFmtId="4" fontId="17" fillId="4" borderId="20" xfId="0" applyNumberFormat="1" applyFont="1" applyFill="1" applyBorder="1" applyAlignment="1"/>
    <xf numFmtId="0" fontId="0" fillId="0" borderId="35" xfId="0" applyFill="1" applyBorder="1"/>
    <xf numFmtId="0" fontId="11" fillId="0" borderId="0" xfId="0" applyFont="1" applyFill="1"/>
    <xf numFmtId="0" fontId="1" fillId="0" borderId="5" xfId="0" applyFont="1" applyFill="1" applyBorder="1"/>
    <xf numFmtId="0" fontId="0" fillId="0" borderId="4" xfId="0" applyFill="1" applyBorder="1"/>
    <xf numFmtId="0" fontId="19" fillId="0" borderId="0" xfId="0" applyFont="1" applyFill="1"/>
    <xf numFmtId="0" fontId="0" fillId="0" borderId="1" xfId="0" applyFill="1" applyBorder="1"/>
    <xf numFmtId="0" fontId="46" fillId="0" borderId="0" xfId="0" applyFont="1" applyFill="1"/>
    <xf numFmtId="0" fontId="16" fillId="0" borderId="4" xfId="0" applyFont="1" applyFill="1" applyBorder="1"/>
    <xf numFmtId="0" fontId="10" fillId="0" borderId="1" xfId="0" applyFont="1" applyFill="1" applyBorder="1"/>
    <xf numFmtId="4" fontId="10" fillId="0" borderId="20" xfId="0" applyNumberFormat="1" applyFont="1" applyFill="1" applyBorder="1"/>
    <xf numFmtId="4" fontId="10" fillId="0" borderId="20" xfId="0" applyNumberFormat="1" applyFont="1" applyFill="1" applyBorder="1" applyAlignment="1"/>
    <xf numFmtId="0" fontId="60" fillId="0" borderId="0" xfId="0" applyFont="1" applyFill="1" applyBorder="1"/>
    <xf numFmtId="0" fontId="61" fillId="0" borderId="0" xfId="0" applyFont="1" applyFill="1" applyBorder="1"/>
    <xf numFmtId="4" fontId="0" fillId="0" borderId="23" xfId="0" applyNumberFormat="1" applyFont="1" applyFill="1" applyBorder="1" applyAlignment="1"/>
    <xf numFmtId="0" fontId="1" fillId="0" borderId="8" xfId="0" applyFont="1" applyFill="1" applyBorder="1"/>
    <xf numFmtId="4" fontId="0" fillId="0" borderId="0" xfId="0" applyNumberFormat="1" applyFill="1"/>
    <xf numFmtId="0" fontId="48" fillId="0" borderId="0" xfId="0" applyFont="1" applyFill="1" applyBorder="1"/>
    <xf numFmtId="0" fontId="0" fillId="0" borderId="7" xfId="0" applyFill="1" applyBorder="1"/>
    <xf numFmtId="0" fontId="16" fillId="0" borderId="3" xfId="0" applyFont="1" applyFill="1" applyBorder="1"/>
    <xf numFmtId="4" fontId="11" fillId="0" borderId="0" xfId="0" applyNumberFormat="1" applyFont="1" applyFill="1"/>
    <xf numFmtId="0" fontId="0" fillId="0" borderId="0" xfId="0" applyFont="1" applyFill="1"/>
    <xf numFmtId="0" fontId="17" fillId="0" borderId="4" xfId="0" applyFont="1" applyFill="1" applyBorder="1"/>
    <xf numFmtId="4" fontId="0" fillId="4" borderId="23" xfId="0" applyNumberFormat="1" applyFont="1" applyFill="1" applyBorder="1" applyAlignment="1"/>
    <xf numFmtId="0" fontId="0" fillId="0" borderId="0" xfId="0" applyFont="1" applyFill="1" applyBorder="1"/>
    <xf numFmtId="0" fontId="23" fillId="9" borderId="0" xfId="0" applyFont="1" applyFill="1"/>
    <xf numFmtId="0" fontId="0" fillId="0" borderId="4" xfId="0" applyFont="1" applyFill="1" applyBorder="1"/>
    <xf numFmtId="0" fontId="49" fillId="0" borderId="0" xfId="0" applyFont="1" applyFill="1" applyBorder="1"/>
    <xf numFmtId="4" fontId="45" fillId="0" borderId="9" xfId="0" applyNumberFormat="1" applyFont="1" applyFill="1" applyBorder="1" applyAlignment="1"/>
    <xf numFmtId="0" fontId="35" fillId="0" borderId="5" xfId="0" applyFont="1" applyFill="1" applyBorder="1"/>
    <xf numFmtId="0" fontId="42" fillId="0" borderId="4" xfId="0" applyFont="1" applyFill="1" applyBorder="1"/>
    <xf numFmtId="0" fontId="0" fillId="0" borderId="7" xfId="0" applyFont="1" applyFill="1" applyBorder="1"/>
    <xf numFmtId="0" fontId="13" fillId="0" borderId="0" xfId="0" applyFont="1" applyFill="1"/>
    <xf numFmtId="0" fontId="1" fillId="0" borderId="3" xfId="0" applyFont="1" applyFill="1" applyBorder="1"/>
    <xf numFmtId="0" fontId="10" fillId="4" borderId="6" xfId="0" applyFont="1" applyFill="1" applyBorder="1"/>
    <xf numFmtId="0" fontId="23" fillId="0" borderId="0" xfId="0" applyFont="1" applyFill="1" applyBorder="1"/>
    <xf numFmtId="0" fontId="18" fillId="0" borderId="0" xfId="0" applyFont="1" applyFill="1"/>
    <xf numFmtId="0" fontId="35" fillId="0" borderId="0" xfId="0" applyFont="1" applyFill="1" applyBorder="1"/>
    <xf numFmtId="4" fontId="0" fillId="0" borderId="26" xfId="0" applyNumberFormat="1" applyFont="1" applyFill="1" applyBorder="1" applyAlignment="1"/>
    <xf numFmtId="4" fontId="43" fillId="0" borderId="26" xfId="0" applyNumberFormat="1" applyFont="1" applyFill="1" applyBorder="1"/>
    <xf numFmtId="4" fontId="0" fillId="0" borderId="23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3" xfId="0" applyNumberFormat="1" applyFont="1" applyFill="1" applyBorder="1"/>
    <xf numFmtId="4" fontId="0" fillId="0" borderId="29" xfId="0" applyNumberFormat="1" applyFont="1" applyFill="1" applyBorder="1" applyAlignment="1">
      <alignment horizontal="right"/>
    </xf>
    <xf numFmtId="4" fontId="0" fillId="4" borderId="29" xfId="0" applyNumberFormat="1" applyFont="1" applyFill="1" applyBorder="1" applyAlignment="1"/>
    <xf numFmtId="4" fontId="0" fillId="4" borderId="34" xfId="0" applyNumberFormat="1" applyFont="1" applyFill="1" applyBorder="1" applyAlignment="1"/>
    <xf numFmtId="4" fontId="0" fillId="4" borderId="18" xfId="0" applyNumberFormat="1" applyFont="1" applyFill="1" applyBorder="1" applyAlignment="1"/>
    <xf numFmtId="4" fontId="0" fillId="0" borderId="29" xfId="0" applyNumberFormat="1" applyFont="1" applyFill="1" applyBorder="1" applyAlignment="1"/>
    <xf numFmtId="0" fontId="13" fillId="10" borderId="0" xfId="0" applyFont="1" applyFill="1"/>
    <xf numFmtId="0" fontId="21" fillId="0" borderId="0" xfId="0" applyFont="1" applyFill="1" applyBorder="1" applyAlignment="1">
      <alignment horizontal="left"/>
    </xf>
    <xf numFmtId="164" fontId="25" fillId="0" borderId="16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10" fillId="0" borderId="21" xfId="0" applyNumberFormat="1" applyFont="1" applyFill="1" applyBorder="1" applyAlignment="1"/>
    <xf numFmtId="0" fontId="32" fillId="0" borderId="6" xfId="0" applyFont="1" applyFill="1" applyBorder="1"/>
    <xf numFmtId="0" fontId="64" fillId="0" borderId="7" xfId="0" applyFont="1" applyFill="1" applyBorder="1"/>
    <xf numFmtId="0" fontId="16" fillId="4" borderId="5" xfId="0" applyFont="1" applyFill="1" applyBorder="1"/>
    <xf numFmtId="0" fontId="33" fillId="0" borderId="4" xfId="0" applyFont="1" applyFill="1" applyBorder="1"/>
    <xf numFmtId="0" fontId="60" fillId="0" borderId="5" xfId="0" applyFont="1" applyFill="1" applyBorder="1"/>
    <xf numFmtId="0" fontId="64" fillId="0" borderId="8" xfId="0" applyFont="1" applyFill="1" applyBorder="1"/>
    <xf numFmtId="0" fontId="38" fillId="0" borderId="3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38" xfId="0" applyFont="1" applyFill="1" applyBorder="1"/>
    <xf numFmtId="0" fontId="8" fillId="0" borderId="1" xfId="0" applyFont="1" applyFill="1" applyBorder="1"/>
    <xf numFmtId="4" fontId="13" fillId="14" borderId="27" xfId="0" applyNumberFormat="1" applyFont="1" applyFill="1" applyBorder="1" applyAlignment="1">
      <alignment horizontal="left"/>
    </xf>
    <xf numFmtId="4" fontId="0" fillId="0" borderId="29" xfId="0" applyNumberFormat="1" applyFont="1" applyFill="1" applyBorder="1"/>
    <xf numFmtId="0" fontId="0" fillId="0" borderId="16" xfId="0" applyFont="1" applyFill="1" applyBorder="1"/>
    <xf numFmtId="0" fontId="114" fillId="0" borderId="1" xfId="0" applyFont="1" applyFill="1" applyBorder="1"/>
    <xf numFmtId="4" fontId="0" fillId="0" borderId="8" xfId="0" applyNumberFormat="1" applyBorder="1" applyAlignment="1">
      <alignment horizontal="right"/>
    </xf>
    <xf numFmtId="4" fontId="16" fillId="6" borderId="11" xfId="0" applyNumberFormat="1" applyFont="1" applyFill="1" applyBorder="1" applyAlignment="1">
      <alignment horizontal="center"/>
    </xf>
    <xf numFmtId="4" fontId="16" fillId="6" borderId="10" xfId="0" applyNumberFormat="1" applyFont="1" applyFill="1" applyBorder="1" applyAlignment="1">
      <alignment horizontal="center"/>
    </xf>
    <xf numFmtId="4" fontId="16" fillId="6" borderId="15" xfId="0" applyNumberFormat="1" applyFont="1" applyFill="1" applyBorder="1" applyAlignment="1">
      <alignment horizontal="center"/>
    </xf>
    <xf numFmtId="4" fontId="16" fillId="22" borderId="11" xfId="0" applyNumberFormat="1" applyFont="1" applyFill="1" applyBorder="1" applyAlignment="1">
      <alignment horizontal="center"/>
    </xf>
    <xf numFmtId="4" fontId="16" fillId="22" borderId="10" xfId="0" applyNumberFormat="1" applyFont="1" applyFill="1" applyBorder="1" applyAlignment="1">
      <alignment horizontal="center"/>
    </xf>
    <xf numFmtId="4" fontId="16" fillId="22" borderId="15" xfId="0" applyNumberFormat="1" applyFont="1" applyFill="1" applyBorder="1" applyAlignment="1">
      <alignment horizontal="center"/>
    </xf>
    <xf numFmtId="4" fontId="23" fillId="0" borderId="0" xfId="0" applyNumberFormat="1" applyFont="1" applyFill="1"/>
    <xf numFmtId="4" fontId="0" fillId="0" borderId="11" xfId="0" applyNumberFormat="1" applyFont="1" applyFill="1" applyBorder="1" applyAlignment="1">
      <alignment horizontal="right"/>
    </xf>
    <xf numFmtId="4" fontId="8" fillId="4" borderId="23" xfId="0" applyNumberFormat="1" applyFont="1" applyFill="1" applyBorder="1" applyAlignment="1"/>
    <xf numFmtId="0" fontId="23" fillId="0" borderId="7" xfId="0" applyFont="1" applyFill="1" applyBorder="1"/>
    <xf numFmtId="0" fontId="0" fillId="0" borderId="4" xfId="0" applyNumberFormat="1" applyFont="1" applyFill="1" applyBorder="1"/>
    <xf numFmtId="14" fontId="0" fillId="0" borderId="6" xfId="0" applyNumberFormat="1" applyFont="1" applyFill="1" applyBorder="1"/>
    <xf numFmtId="0" fontId="75" fillId="0" borderId="4" xfId="0" applyFont="1" applyFill="1" applyBorder="1"/>
    <xf numFmtId="0" fontId="78" fillId="0" borderId="12" xfId="0" applyFont="1" applyBorder="1"/>
    <xf numFmtId="0" fontId="16" fillId="0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4" borderId="12" xfId="0" applyFont="1" applyFill="1" applyBorder="1"/>
    <xf numFmtId="0" fontId="16" fillId="4" borderId="14" xfId="0" applyFont="1" applyFill="1" applyBorder="1"/>
    <xf numFmtId="4" fontId="17" fillId="6" borderId="15" xfId="0" applyNumberFormat="1" applyFont="1" applyFill="1" applyBorder="1" applyAlignment="1">
      <alignment horizontal="center"/>
    </xf>
    <xf numFmtId="4" fontId="17" fillId="22" borderId="15" xfId="0" applyNumberFormat="1" applyFont="1" applyFill="1" applyBorder="1" applyAlignment="1">
      <alignment horizontal="center"/>
    </xf>
    <xf numFmtId="4" fontId="16" fillId="22" borderId="9" xfId="0" applyNumberFormat="1" applyFont="1" applyFill="1" applyBorder="1" applyAlignment="1">
      <alignment horizontal="center"/>
    </xf>
    <xf numFmtId="4" fontId="79" fillId="22" borderId="55" xfId="0" applyNumberFormat="1" applyFont="1" applyFill="1" applyBorder="1" applyAlignment="1">
      <alignment horizontal="center"/>
    </xf>
    <xf numFmtId="4" fontId="16" fillId="6" borderId="9" xfId="0" applyNumberFormat="1" applyFont="1" applyFill="1" applyBorder="1" applyAlignment="1">
      <alignment horizontal="center"/>
    </xf>
    <xf numFmtId="4" fontId="79" fillId="6" borderId="54" xfId="0" applyNumberFormat="1" applyFont="1" applyFill="1" applyBorder="1" applyAlignment="1">
      <alignment horizontal="center"/>
    </xf>
    <xf numFmtId="4" fontId="19" fillId="6" borderId="48" xfId="0" applyNumberFormat="1" applyFont="1" applyFill="1" applyBorder="1" applyAlignment="1">
      <alignment horizontal="center"/>
    </xf>
    <xf numFmtId="0" fontId="10" fillId="3" borderId="49" xfId="0" applyFont="1" applyFill="1" applyBorder="1"/>
    <xf numFmtId="0" fontId="18" fillId="23" borderId="0" xfId="0" applyFont="1" applyFill="1"/>
    <xf numFmtId="0" fontId="18" fillId="23" borderId="0" xfId="0" applyFont="1" applyFill="1" applyBorder="1"/>
    <xf numFmtId="0" fontId="8" fillId="23" borderId="0" xfId="0" applyFont="1" applyFill="1" applyBorder="1"/>
    <xf numFmtId="0" fontId="0" fillId="23" borderId="0" xfId="0" applyFont="1" applyFill="1" applyBorder="1"/>
    <xf numFmtId="0" fontId="0" fillId="23" borderId="0" xfId="0" applyFont="1" applyFill="1"/>
    <xf numFmtId="0" fontId="1" fillId="23" borderId="0" xfId="0" applyFont="1" applyFill="1"/>
    <xf numFmtId="4" fontId="16" fillId="17" borderId="15" xfId="0" applyNumberFormat="1" applyFont="1" applyFill="1" applyBorder="1" applyAlignment="1">
      <alignment horizontal="center"/>
    </xf>
    <xf numFmtId="4" fontId="16" fillId="17" borderId="11" xfId="0" applyNumberFormat="1" applyFont="1" applyFill="1" applyBorder="1" applyAlignment="1">
      <alignment horizontal="center"/>
    </xf>
    <xf numFmtId="165" fontId="16" fillId="17" borderId="50" xfId="0" applyNumberFormat="1" applyFont="1" applyFill="1" applyBorder="1"/>
    <xf numFmtId="4" fontId="19" fillId="17" borderId="9" xfId="0" applyNumberFormat="1" applyFont="1" applyFill="1" applyBorder="1"/>
    <xf numFmtId="165" fontId="16" fillId="6" borderId="61" xfId="0" applyNumberFormat="1" applyFont="1" applyFill="1" applyBorder="1"/>
    <xf numFmtId="4" fontId="18" fillId="6" borderId="9" xfId="0" applyNumberFormat="1" applyFont="1" applyFill="1" applyBorder="1"/>
    <xf numFmtId="4" fontId="18" fillId="22" borderId="9" xfId="0" applyNumberFormat="1" applyFont="1" applyFill="1" applyBorder="1"/>
    <xf numFmtId="0" fontId="17" fillId="46" borderId="0" xfId="0" applyFont="1" applyFill="1" applyAlignment="1">
      <alignment horizontal="center"/>
    </xf>
    <xf numFmtId="0" fontId="77" fillId="9" borderId="0" xfId="0" applyFont="1" applyFill="1"/>
    <xf numFmtId="0" fontId="81" fillId="9" borderId="0" xfId="0" applyFont="1" applyFill="1"/>
    <xf numFmtId="0" fontId="10" fillId="17" borderId="18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4" fontId="10" fillId="13" borderId="10" xfId="0" applyNumberFormat="1" applyFont="1" applyFill="1" applyBorder="1" applyAlignment="1">
      <alignment horizontal="right"/>
    </xf>
    <xf numFmtId="4" fontId="10" fillId="13" borderId="21" xfId="0" applyNumberFormat="1" applyFont="1" applyFill="1" applyBorder="1"/>
    <xf numFmtId="4" fontId="16" fillId="0" borderId="11" xfId="0" applyNumberFormat="1" applyFont="1" applyFill="1" applyBorder="1"/>
    <xf numFmtId="4" fontId="43" fillId="22" borderId="9" xfId="0" applyNumberFormat="1" applyFont="1" applyFill="1" applyBorder="1" applyAlignment="1"/>
    <xf numFmtId="0" fontId="1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16" fillId="0" borderId="0" xfId="0" applyFont="1" applyFill="1"/>
    <xf numFmtId="0" fontId="16" fillId="9" borderId="0" xfId="0" applyFont="1" applyFill="1"/>
    <xf numFmtId="0" fontId="17" fillId="4" borderId="4" xfId="0" applyFont="1" applyFill="1" applyBorder="1" applyAlignment="1">
      <alignment horizontal="left"/>
    </xf>
    <xf numFmtId="0" fontId="117" fillId="0" borderId="4" xfId="0" applyFont="1" applyFill="1" applyBorder="1"/>
    <xf numFmtId="0" fontId="117" fillId="0" borderId="0" xfId="0" applyFont="1" applyFill="1" applyBorder="1"/>
    <xf numFmtId="0" fontId="117" fillId="0" borderId="0" xfId="0" applyFont="1" applyFill="1"/>
    <xf numFmtId="0" fontId="0" fillId="0" borderId="28" xfId="0" applyFont="1" applyFill="1" applyBorder="1" applyAlignment="1">
      <alignment horizontal="center"/>
    </xf>
    <xf numFmtId="4" fontId="17" fillId="9" borderId="0" xfId="0" applyNumberFormat="1" applyFont="1" applyFill="1"/>
    <xf numFmtId="4" fontId="19" fillId="22" borderId="48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17" fillId="17" borderId="10" xfId="0" applyNumberFormat="1" applyFont="1" applyFill="1" applyBorder="1" applyAlignment="1">
      <alignment horizontal="center"/>
    </xf>
    <xf numFmtId="4" fontId="17" fillId="17" borderId="15" xfId="0" applyNumberFormat="1" applyFont="1" applyFill="1" applyBorder="1" applyAlignment="1">
      <alignment horizontal="center"/>
    </xf>
    <xf numFmtId="4" fontId="79" fillId="17" borderId="53" xfId="0" applyNumberFormat="1" applyFont="1" applyFill="1" applyBorder="1" applyAlignment="1">
      <alignment horizontal="center"/>
    </xf>
    <xf numFmtId="4" fontId="19" fillId="17" borderId="9" xfId="0" applyNumberFormat="1" applyFont="1" applyFill="1" applyBorder="1" applyAlignment="1">
      <alignment horizontal="center"/>
    </xf>
    <xf numFmtId="4" fontId="16" fillId="17" borderId="9" xfId="0" applyNumberFormat="1" applyFont="1" applyFill="1" applyBorder="1" applyAlignment="1">
      <alignment horizontal="center"/>
    </xf>
    <xf numFmtId="0" fontId="50" fillId="0" borderId="0" xfId="0" applyFont="1" applyFill="1"/>
    <xf numFmtId="0" fontId="36" fillId="0" borderId="0" xfId="0" applyFont="1" applyFill="1"/>
    <xf numFmtId="4" fontId="81" fillId="0" borderId="16" xfId="0" applyNumberFormat="1" applyFont="1" applyFill="1" applyBorder="1"/>
    <xf numFmtId="4" fontId="57" fillId="0" borderId="0" xfId="0" applyNumberFormat="1" applyFont="1" applyFill="1" applyBorder="1"/>
    <xf numFmtId="0" fontId="58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164" fontId="4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164" fontId="2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4" fontId="0" fillId="0" borderId="18" xfId="0" applyNumberFormat="1" applyFont="1" applyFill="1" applyBorder="1" applyAlignment="1"/>
    <xf numFmtId="4" fontId="63" fillId="0" borderId="27" xfId="0" applyNumberFormat="1" applyFont="1" applyFill="1" applyBorder="1" applyAlignment="1">
      <alignment horizontal="center"/>
    </xf>
    <xf numFmtId="4" fontId="1" fillId="3" borderId="27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9" borderId="17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0" fontId="18" fillId="6" borderId="0" xfId="0" applyFont="1" applyFill="1"/>
    <xf numFmtId="0" fontId="93" fillId="6" borderId="0" xfId="0" applyFont="1" applyFill="1"/>
    <xf numFmtId="0" fontId="93" fillId="6" borderId="0" xfId="0" applyFont="1" applyFill="1" applyAlignment="1">
      <alignment horizontal="center"/>
    </xf>
    <xf numFmtId="4" fontId="93" fillId="6" borderId="0" xfId="0" applyNumberFormat="1" applyFont="1" applyFill="1" applyAlignment="1">
      <alignment horizontal="center"/>
    </xf>
    <xf numFmtId="4" fontId="19" fillId="6" borderId="0" xfId="0" applyNumberFormat="1" applyFont="1" applyFill="1" applyBorder="1"/>
    <xf numFmtId="0" fontId="40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7" fillId="0" borderId="0" xfId="0" applyNumberFormat="1" applyFont="1" applyFill="1" applyBorder="1"/>
    <xf numFmtId="0" fontId="116" fillId="0" borderId="12" xfId="0" applyFont="1" applyFill="1" applyBorder="1"/>
    <xf numFmtId="0" fontId="16" fillId="0" borderId="15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4" fontId="0" fillId="0" borderId="12" xfId="0" applyNumberFormat="1" applyFont="1" applyBorder="1"/>
    <xf numFmtId="4" fontId="17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165" fontId="42" fillId="5" borderId="23" xfId="0" applyNumberFormat="1" applyFont="1" applyFill="1" applyBorder="1"/>
    <xf numFmtId="165" fontId="36" fillId="5" borderId="20" xfId="0" applyNumberFormat="1" applyFont="1" applyFill="1" applyBorder="1"/>
    <xf numFmtId="0" fontId="0" fillId="0" borderId="26" xfId="0" applyFill="1" applyBorder="1"/>
    <xf numFmtId="165" fontId="118" fillId="0" borderId="34" xfId="0" applyNumberFormat="1" applyFont="1" applyBorder="1"/>
    <xf numFmtId="4" fontId="118" fillId="0" borderId="20" xfId="0" applyNumberFormat="1" applyFont="1" applyBorder="1"/>
    <xf numFmtId="165" fontId="118" fillId="0" borderId="20" xfId="0" applyNumberFormat="1" applyFont="1" applyBorder="1"/>
    <xf numFmtId="0" fontId="91" fillId="0" borderId="0" xfId="0" applyFont="1" applyFill="1" applyBorder="1" applyAlignment="1"/>
    <xf numFmtId="3" fontId="42" fillId="0" borderId="0" xfId="0" applyNumberFormat="1" applyFont="1" applyAlignment="1">
      <alignment horizontal="right"/>
    </xf>
    <xf numFmtId="0" fontId="0" fillId="4" borderId="6" xfId="0" applyFont="1" applyFill="1" applyBorder="1"/>
    <xf numFmtId="4" fontId="23" fillId="0" borderId="23" xfId="0" applyNumberFormat="1" applyFont="1" applyFill="1" applyBorder="1" applyAlignment="1">
      <alignment horizontal="right"/>
    </xf>
    <xf numFmtId="4" fontId="13" fillId="0" borderId="26" xfId="0" applyNumberFormat="1" applyFont="1" applyFill="1" applyBorder="1" applyAlignment="1"/>
    <xf numFmtId="4" fontId="37" fillId="0" borderId="21" xfId="0" applyNumberFormat="1" applyFont="1" applyBorder="1"/>
    <xf numFmtId="165" fontId="13" fillId="5" borderId="26" xfId="0" applyNumberFormat="1" applyFont="1" applyFill="1" applyBorder="1"/>
    <xf numFmtId="165" fontId="13" fillId="0" borderId="26" xfId="0" applyNumberFormat="1" applyFont="1" applyFill="1" applyBorder="1"/>
    <xf numFmtId="0" fontId="13" fillId="0" borderId="32" xfId="0" applyFont="1" applyBorder="1"/>
    <xf numFmtId="4" fontId="40" fillId="0" borderId="41" xfId="0" applyNumberFormat="1" applyFont="1" applyBorder="1"/>
    <xf numFmtId="165" fontId="13" fillId="5" borderId="26" xfId="0" applyNumberFormat="1" applyFont="1" applyFill="1" applyBorder="1" applyAlignment="1">
      <alignment horizontal="right"/>
    </xf>
    <xf numFmtId="165" fontId="37" fillId="0" borderId="41" xfId="0" applyNumberFormat="1" applyFont="1" applyBorder="1"/>
    <xf numFmtId="165" fontId="23" fillId="0" borderId="26" xfId="0" applyNumberFormat="1" applyFont="1" applyFill="1" applyBorder="1"/>
    <xf numFmtId="165" fontId="23" fillId="0" borderId="26" xfId="0" applyNumberFormat="1" applyFont="1" applyBorder="1"/>
    <xf numFmtId="165" fontId="40" fillId="5" borderId="21" xfId="0" applyNumberFormat="1" applyFont="1" applyFill="1" applyBorder="1"/>
    <xf numFmtId="165" fontId="119" fillId="0" borderId="26" xfId="0" applyNumberFormat="1" applyFont="1" applyBorder="1"/>
    <xf numFmtId="165" fontId="23" fillId="0" borderId="43" xfId="0" applyNumberFormat="1" applyFont="1" applyBorder="1"/>
    <xf numFmtId="165" fontId="37" fillId="0" borderId="21" xfId="0" applyNumberFormat="1" applyFont="1" applyBorder="1"/>
    <xf numFmtId="165" fontId="23" fillId="5" borderId="26" xfId="0" applyNumberFormat="1" applyFont="1" applyFill="1" applyBorder="1"/>
    <xf numFmtId="165" fontId="40" fillId="0" borderId="41" xfId="0" applyNumberFormat="1" applyFont="1" applyBorder="1"/>
    <xf numFmtId="165" fontId="23" fillId="0" borderId="32" xfId="0" applyNumberFormat="1" applyFont="1" applyBorder="1"/>
    <xf numFmtId="165" fontId="23" fillId="5" borderId="43" xfId="0" applyNumberFormat="1" applyFont="1" applyFill="1" applyBorder="1"/>
    <xf numFmtId="165" fontId="40" fillId="0" borderId="21" xfId="0" applyNumberFormat="1" applyFont="1" applyBorder="1"/>
    <xf numFmtId="165" fontId="40" fillId="0" borderId="20" xfId="0" applyNumberFormat="1" applyFont="1" applyBorder="1"/>
    <xf numFmtId="165" fontId="23" fillId="0" borderId="23" xfId="0" applyNumberFormat="1" applyFont="1" applyBorder="1"/>
    <xf numFmtId="165" fontId="23" fillId="0" borderId="15" xfId="0" applyNumberFormat="1" applyFont="1" applyBorder="1"/>
    <xf numFmtId="165" fontId="40" fillId="0" borderId="58" xfId="0" applyNumberFormat="1" applyFont="1" applyBorder="1"/>
    <xf numFmtId="165" fontId="23" fillId="0" borderId="28" xfId="0" applyNumberFormat="1" applyFont="1" applyBorder="1"/>
    <xf numFmtId="165" fontId="23" fillId="0" borderId="60" xfId="0" applyNumberFormat="1" applyFont="1" applyBorder="1"/>
    <xf numFmtId="4" fontId="13" fillId="0" borderId="72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right"/>
    </xf>
    <xf numFmtId="4" fontId="0" fillId="0" borderId="15" xfId="0" applyNumberFormat="1" applyBorder="1"/>
    <xf numFmtId="4" fontId="54" fillId="0" borderId="9" xfId="0" applyNumberFormat="1" applyFont="1" applyBorder="1"/>
    <xf numFmtId="0" fontId="54" fillId="0" borderId="14" xfId="0" applyFont="1" applyBorder="1"/>
    <xf numFmtId="4" fontId="10" fillId="17" borderId="9" xfId="0" applyNumberFormat="1" applyFont="1" applyFill="1" applyBorder="1" applyAlignment="1">
      <alignment horizontal="center"/>
    </xf>
    <xf numFmtId="4" fontId="0" fillId="0" borderId="14" xfId="0" applyNumberFormat="1" applyFont="1" applyBorder="1"/>
    <xf numFmtId="0" fontId="13" fillId="0" borderId="0" xfId="0" applyFont="1" applyAlignment="1"/>
    <xf numFmtId="4" fontId="40" fillId="0" borderId="23" xfId="0" applyNumberFormat="1" applyFont="1" applyFill="1" applyBorder="1" applyAlignment="1"/>
    <xf numFmtId="4" fontId="40" fillId="0" borderId="23" xfId="0" applyNumberFormat="1" applyFont="1" applyFill="1" applyBorder="1" applyAlignment="1">
      <alignment horizontal="right"/>
    </xf>
    <xf numFmtId="4" fontId="40" fillId="4" borderId="23" xfId="0" applyNumberFormat="1" applyFont="1" applyFill="1" applyBorder="1" applyAlignment="1"/>
    <xf numFmtId="164" fontId="13" fillId="47" borderId="23" xfId="0" applyNumberFormat="1" applyFont="1" applyFill="1" applyBorder="1" applyAlignment="1">
      <alignment horizontal="center"/>
    </xf>
    <xf numFmtId="0" fontId="0" fillId="0" borderId="0" xfId="0" applyAlignment="1"/>
    <xf numFmtId="164" fontId="36" fillId="0" borderId="16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/>
    <xf numFmtId="164" fontId="36" fillId="0" borderId="16" xfId="0" applyNumberFormat="1" applyFont="1" applyFill="1" applyBorder="1" applyAlignment="1">
      <alignment horizontal="left"/>
    </xf>
    <xf numFmtId="2" fontId="36" fillId="0" borderId="0" xfId="0" applyNumberFormat="1" applyFont="1" applyFill="1"/>
    <xf numFmtId="164" fontId="42" fillId="0" borderId="16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4" fontId="42" fillId="4" borderId="0" xfId="0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4" fontId="121" fillId="0" borderId="23" xfId="0" applyNumberFormat="1" applyFont="1" applyFill="1" applyBorder="1" applyAlignment="1">
      <alignment horizontal="right"/>
    </xf>
    <xf numFmtId="4" fontId="121" fillId="0" borderId="0" xfId="0" applyNumberFormat="1" applyFont="1" applyFill="1" applyBorder="1" applyAlignment="1">
      <alignment horizontal="right"/>
    </xf>
    <xf numFmtId="0" fontId="21" fillId="0" borderId="0" xfId="0" applyFont="1"/>
    <xf numFmtId="0" fontId="0" fillId="0" borderId="17" xfId="0" applyBorder="1"/>
    <xf numFmtId="0" fontId="0" fillId="0" borderId="33" xfId="0" applyBorder="1"/>
    <xf numFmtId="0" fontId="1" fillId="0" borderId="27" xfId="0" applyFont="1" applyFill="1" applyBorder="1"/>
    <xf numFmtId="0" fontId="0" fillId="0" borderId="27" xfId="0" applyFill="1" applyBorder="1"/>
    <xf numFmtId="2" fontId="42" fillId="0" borderId="0" xfId="0" applyNumberFormat="1" applyFont="1" applyFill="1"/>
    <xf numFmtId="0" fontId="23" fillId="0" borderId="0" xfId="0" applyFont="1" applyFill="1"/>
    <xf numFmtId="0" fontId="13" fillId="0" borderId="1" xfId="0" applyFont="1" applyFill="1" applyBorder="1"/>
    <xf numFmtId="0" fontId="13" fillId="0" borderId="3" xfId="0" applyFont="1" applyFill="1" applyBorder="1"/>
    <xf numFmtId="4" fontId="13" fillId="6" borderId="23" xfId="0" applyNumberFormat="1" applyFont="1" applyFill="1" applyBorder="1" applyAlignment="1"/>
    <xf numFmtId="0" fontId="0" fillId="47" borderId="0" xfId="0" applyFill="1"/>
    <xf numFmtId="0" fontId="23" fillId="47" borderId="0" xfId="0" applyFont="1" applyFill="1" applyBorder="1"/>
    <xf numFmtId="4" fontId="13" fillId="47" borderId="23" xfId="0" applyNumberFormat="1" applyFont="1" applyFill="1" applyBorder="1" applyAlignment="1">
      <alignment horizontal="center"/>
    </xf>
    <xf numFmtId="9" fontId="120" fillId="6" borderId="0" xfId="0" applyNumberFormat="1" applyFont="1" applyFill="1" applyBorder="1"/>
    <xf numFmtId="0" fontId="13" fillId="6" borderId="0" xfId="0" applyFont="1" applyFill="1" applyBorder="1"/>
    <xf numFmtId="4" fontId="23" fillId="6" borderId="23" xfId="0" applyNumberFormat="1" applyFont="1" applyFill="1" applyBorder="1" applyAlignment="1">
      <alignment horizontal="center"/>
    </xf>
    <xf numFmtId="164" fontId="13" fillId="6" borderId="23" xfId="0" applyNumberFormat="1" applyFont="1" applyFill="1" applyBorder="1" applyAlignment="1">
      <alignment horizontal="center"/>
    </xf>
    <xf numFmtId="4" fontId="65" fillId="6" borderId="23" xfId="0" applyNumberFormat="1" applyFont="1" applyFill="1" applyBorder="1" applyAlignment="1"/>
    <xf numFmtId="4" fontId="65" fillId="6" borderId="23" xfId="0" applyNumberFormat="1" applyFont="1" applyFill="1" applyBorder="1" applyAlignment="1">
      <alignment horizontal="right"/>
    </xf>
    <xf numFmtId="4" fontId="35" fillId="0" borderId="23" xfId="0" applyNumberFormat="1" applyFont="1" applyFill="1" applyBorder="1"/>
    <xf numFmtId="4" fontId="122" fillId="0" borderId="26" xfId="0" applyNumberFormat="1" applyFont="1" applyFill="1" applyBorder="1"/>
    <xf numFmtId="0" fontId="13" fillId="0" borderId="4" xfId="0" applyFont="1" applyFill="1" applyBorder="1"/>
    <xf numFmtId="4" fontId="13" fillId="47" borderId="18" xfId="0" applyNumberFormat="1" applyFont="1" applyFill="1" applyBorder="1" applyAlignment="1">
      <alignment horizontal="center"/>
    </xf>
    <xf numFmtId="0" fontId="40" fillId="47" borderId="4" xfId="0" applyFont="1" applyFill="1" applyBorder="1"/>
    <xf numFmtId="0" fontId="23" fillId="47" borderId="5" xfId="0" applyFont="1" applyFill="1" applyBorder="1"/>
    <xf numFmtId="4" fontId="23" fillId="47" borderId="34" xfId="0" applyNumberFormat="1" applyFont="1" applyFill="1" applyBorder="1" applyAlignment="1">
      <alignment horizontal="center"/>
    </xf>
    <xf numFmtId="4" fontId="23" fillId="47" borderId="23" xfId="0" applyNumberFormat="1" applyFont="1" applyFill="1" applyBorder="1" applyAlignment="1">
      <alignment horizontal="center"/>
    </xf>
    <xf numFmtId="164" fontId="23" fillId="47" borderId="23" xfId="0" applyNumberFormat="1" applyFont="1" applyFill="1" applyBorder="1" applyAlignment="1">
      <alignment horizontal="center"/>
    </xf>
    <xf numFmtId="0" fontId="23" fillId="47" borderId="6" xfId="0" applyFont="1" applyFill="1" applyBorder="1"/>
    <xf numFmtId="0" fontId="23" fillId="47" borderId="7" xfId="0" applyFont="1" applyFill="1" applyBorder="1"/>
    <xf numFmtId="0" fontId="23" fillId="47" borderId="8" xfId="0" applyFont="1" applyFill="1" applyBorder="1"/>
    <xf numFmtId="4" fontId="13" fillId="47" borderId="34" xfId="0" applyNumberFormat="1" applyFont="1" applyFill="1" applyBorder="1" applyAlignment="1">
      <alignment horizontal="center"/>
    </xf>
    <xf numFmtId="4" fontId="123" fillId="0" borderId="23" xfId="0" applyNumberFormat="1" applyFont="1" applyFill="1" applyBorder="1" applyAlignment="1">
      <alignment horizontal="right"/>
    </xf>
    <xf numFmtId="4" fontId="123" fillId="0" borderId="24" xfId="0" applyNumberFormat="1" applyFont="1" applyFill="1" applyBorder="1" applyAlignment="1">
      <alignment horizontal="right"/>
    </xf>
    <xf numFmtId="4" fontId="40" fillId="0" borderId="29" xfId="0" applyNumberFormat="1" applyFont="1" applyFill="1" applyBorder="1" applyAlignment="1">
      <alignment horizontal="right"/>
    </xf>
    <xf numFmtId="0" fontId="0" fillId="47" borderId="0" xfId="0" applyFill="1" applyBorder="1" applyAlignment="1">
      <alignment horizontal="left"/>
    </xf>
    <xf numFmtId="164" fontId="40" fillId="47" borderId="16" xfId="0" applyNumberFormat="1" applyFont="1" applyFill="1" applyBorder="1" applyAlignment="1">
      <alignment horizontal="center"/>
    </xf>
    <xf numFmtId="0" fontId="13" fillId="47" borderId="0" xfId="0" applyFont="1" applyFill="1"/>
    <xf numFmtId="164" fontId="40" fillId="47" borderId="0" xfId="0" applyNumberFormat="1" applyFont="1" applyFill="1" applyBorder="1" applyAlignment="1">
      <alignment horizontal="center"/>
    </xf>
    <xf numFmtId="164" fontId="13" fillId="47" borderId="16" xfId="0" applyNumberFormat="1" applyFont="1" applyFill="1" applyBorder="1" applyAlignment="1">
      <alignment horizontal="left"/>
    </xf>
    <xf numFmtId="4" fontId="40" fillId="47" borderId="0" xfId="0" applyNumberFormat="1" applyFont="1" applyFill="1"/>
    <xf numFmtId="0" fontId="40" fillId="47" borderId="0" xfId="0" applyFont="1" applyFill="1"/>
    <xf numFmtId="0" fontId="23" fillId="47" borderId="0" xfId="0" applyFont="1" applyFill="1"/>
    <xf numFmtId="4" fontId="23" fillId="47" borderId="0" xfId="0" applyNumberFormat="1" applyFont="1" applyFill="1"/>
    <xf numFmtId="0" fontId="25" fillId="47" borderId="0" xfId="0" applyFont="1" applyFill="1"/>
    <xf numFmtId="0" fontId="55" fillId="47" borderId="0" xfId="0" applyFont="1" applyFill="1" applyBorder="1"/>
    <xf numFmtId="0" fontId="23" fillId="47" borderId="49" xfId="0" applyFont="1" applyFill="1" applyBorder="1"/>
    <xf numFmtId="4" fontId="40" fillId="47" borderId="51" xfId="0" applyNumberFormat="1" applyFont="1" applyFill="1" applyBorder="1"/>
    <xf numFmtId="4" fontId="23" fillId="47" borderId="15" xfId="0" applyNumberFormat="1" applyFont="1" applyFill="1" applyBorder="1" applyAlignment="1">
      <alignment horizontal="center"/>
    </xf>
    <xf numFmtId="4" fontId="40" fillId="47" borderId="15" xfId="0" applyNumberFormat="1" applyFont="1" applyFill="1" applyBorder="1"/>
    <xf numFmtId="3" fontId="40" fillId="47" borderId="0" xfId="0" applyNumberFormat="1" applyFont="1" applyFill="1"/>
    <xf numFmtId="0" fontId="11" fillId="47" borderId="0" xfId="0" applyFont="1" applyFill="1"/>
    <xf numFmtId="0" fontId="17" fillId="47" borderId="0" xfId="0" applyFont="1" applyFill="1"/>
    <xf numFmtId="0" fontId="0" fillId="47" borderId="0" xfId="0" applyFont="1" applyFill="1"/>
    <xf numFmtId="0" fontId="24" fillId="47" borderId="0" xfId="0" applyFont="1" applyFill="1" applyBorder="1"/>
    <xf numFmtId="4" fontId="11" fillId="47" borderId="0" xfId="0" applyNumberFormat="1" applyFont="1" applyFill="1"/>
    <xf numFmtId="0" fontId="34" fillId="47" borderId="0" xfId="0" applyFont="1" applyFill="1"/>
    <xf numFmtId="0" fontId="25" fillId="47" borderId="0" xfId="0" applyFont="1" applyFill="1" applyBorder="1"/>
    <xf numFmtId="0" fontId="0" fillId="0" borderId="0" xfId="0" applyAlignment="1"/>
    <xf numFmtId="4" fontId="23" fillId="0" borderId="0" xfId="0" applyNumberFormat="1" applyFont="1" applyFill="1" applyBorder="1" applyAlignment="1">
      <alignment horizontal="left"/>
    </xf>
    <xf numFmtId="3" fontId="52" fillId="0" borderId="0" xfId="0" applyNumberFormat="1" applyFont="1" applyFill="1"/>
    <xf numFmtId="0" fontId="52" fillId="0" borderId="0" xfId="0" applyFont="1" applyFill="1"/>
    <xf numFmtId="3" fontId="0" fillId="0" borderId="0" xfId="0" applyNumberForma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164" fontId="124" fillId="0" borderId="16" xfId="0" applyNumberFormat="1" applyFont="1" applyFill="1" applyBorder="1" applyAlignment="1">
      <alignment horizontal="left"/>
    </xf>
    <xf numFmtId="164" fontId="124" fillId="0" borderId="0" xfId="0" applyNumberFormat="1" applyFont="1" applyFill="1" applyBorder="1" applyAlignment="1">
      <alignment horizontal="left"/>
    </xf>
    <xf numFmtId="0" fontId="125" fillId="0" borderId="0" xfId="0" applyFont="1"/>
    <xf numFmtId="0" fontId="21" fillId="0" borderId="0" xfId="0" applyFont="1" applyFill="1" applyBorder="1" applyAlignment="1"/>
    <xf numFmtId="4" fontId="0" fillId="0" borderId="24" xfId="0" applyNumberFormat="1" applyFont="1" applyFill="1" applyBorder="1"/>
    <xf numFmtId="4" fontId="126" fillId="0" borderId="0" xfId="0" applyNumberFormat="1" applyFont="1" applyFill="1" applyBorder="1" applyAlignment="1"/>
    <xf numFmtId="0" fontId="125" fillId="0" borderId="0" xfId="0" applyFont="1" applyFill="1"/>
    <xf numFmtId="0" fontId="126" fillId="0" borderId="0" xfId="0" applyFont="1" applyFill="1"/>
    <xf numFmtId="2" fontId="21" fillId="0" borderId="0" xfId="0" applyNumberFormat="1" applyFont="1" applyFill="1"/>
    <xf numFmtId="164" fontId="40" fillId="7" borderId="0" xfId="0" applyNumberFormat="1" applyFont="1" applyFill="1" applyBorder="1" applyAlignment="1">
      <alignment horizontal="center"/>
    </xf>
    <xf numFmtId="2" fontId="0" fillId="0" borderId="0" xfId="0" applyNumberFormat="1" applyFont="1" applyFill="1"/>
    <xf numFmtId="2" fontId="1" fillId="0" borderId="16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127" fillId="0" borderId="0" xfId="0" applyNumberFormat="1" applyFont="1" applyFill="1"/>
    <xf numFmtId="165" fontId="17" fillId="0" borderId="24" xfId="0" applyNumberFormat="1" applyFont="1" applyBorder="1"/>
    <xf numFmtId="0" fontId="16" fillId="48" borderId="0" xfId="0" applyFont="1" applyFill="1"/>
    <xf numFmtId="0" fontId="0" fillId="4" borderId="0" xfId="0" applyFont="1" applyFill="1"/>
    <xf numFmtId="4" fontId="0" fillId="4" borderId="0" xfId="0" applyNumberFormat="1" applyFont="1" applyFill="1"/>
    <xf numFmtId="0" fontId="26" fillId="7" borderId="0" xfId="0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40" fillId="7" borderId="0" xfId="0" applyFont="1" applyFill="1" applyAlignment="1">
      <alignment horizontal="left"/>
    </xf>
    <xf numFmtId="0" fontId="26" fillId="7" borderId="11" xfId="0" applyFont="1" applyFill="1" applyBorder="1" applyAlignment="1">
      <alignment horizontal="center"/>
    </xf>
    <xf numFmtId="0" fontId="128" fillId="0" borderId="0" xfId="0" applyFont="1" applyFill="1" applyBorder="1"/>
    <xf numFmtId="4" fontId="26" fillId="0" borderId="0" xfId="0" applyNumberFormat="1" applyFont="1"/>
    <xf numFmtId="0" fontId="81" fillId="0" borderId="0" xfId="0" applyFont="1" applyFill="1" applyBorder="1"/>
    <xf numFmtId="4" fontId="1" fillId="18" borderId="18" xfId="0" applyNumberFormat="1" applyFont="1" applyFill="1" applyBorder="1" applyAlignment="1">
      <alignment horizontal="center"/>
    </xf>
    <xf numFmtId="4" fontId="1" fillId="18" borderId="18" xfId="0" applyNumberFormat="1" applyFont="1" applyFill="1" applyBorder="1" applyAlignment="1"/>
    <xf numFmtId="0" fontId="31" fillId="0" borderId="0" xfId="0" applyFont="1" applyFill="1" applyBorder="1"/>
    <xf numFmtId="0" fontId="26" fillId="6" borderId="0" xfId="0" applyFont="1" applyFill="1" applyAlignment="1">
      <alignment horizontal="left"/>
    </xf>
    <xf numFmtId="0" fontId="26" fillId="6" borderId="0" xfId="0" applyFont="1" applyFill="1" applyAlignment="1">
      <alignment horizontal="center"/>
    </xf>
    <xf numFmtId="4" fontId="26" fillId="6" borderId="0" xfId="0" applyNumberFormat="1" applyFont="1" applyFill="1" applyAlignment="1">
      <alignment horizontal="center"/>
    </xf>
    <xf numFmtId="0" fontId="21" fillId="0" borderId="4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0" borderId="0" xfId="0" applyAlignment="1"/>
    <xf numFmtId="164" fontId="13" fillId="0" borderId="16" xfId="0" applyNumberFormat="1" applyFont="1" applyFill="1" applyBorder="1" applyAlignment="1">
      <alignment horizontal="center"/>
    </xf>
    <xf numFmtId="0" fontId="90" fillId="0" borderId="0" xfId="0" applyFont="1" applyBorder="1" applyAlignment="1"/>
    <xf numFmtId="0" fontId="90" fillId="0" borderId="5" xfId="0" applyFont="1" applyBorder="1" applyAlignment="1"/>
    <xf numFmtId="4" fontId="23" fillId="0" borderId="0" xfId="0" applyNumberFormat="1" applyFont="1" applyFill="1" applyBorder="1" applyAlignment="1">
      <alignment horizontal="left"/>
    </xf>
    <xf numFmtId="4" fontId="36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/>
    <xf numFmtId="0" fontId="49" fillId="0" borderId="5" xfId="0" applyFont="1" applyBorder="1" applyAlignment="1"/>
    <xf numFmtId="164" fontId="23" fillId="0" borderId="16" xfId="0" applyNumberFormat="1" applyFont="1" applyFill="1" applyBorder="1" applyAlignment="1">
      <alignment horizontal="left"/>
    </xf>
    <xf numFmtId="0" fontId="31" fillId="0" borderId="6" xfId="0" applyFont="1" applyFill="1" applyBorder="1"/>
    <xf numFmtId="4" fontId="31" fillId="6" borderId="9" xfId="0" applyNumberFormat="1" applyFont="1" applyFill="1" applyBorder="1" applyAlignment="1">
      <alignment horizontal="center"/>
    </xf>
    <xf numFmtId="4" fontId="31" fillId="22" borderId="9" xfId="0" applyNumberFormat="1" applyFont="1" applyFill="1" applyBorder="1"/>
    <xf numFmtId="4" fontId="75" fillId="0" borderId="26" xfId="0" applyNumberFormat="1" applyFont="1" applyFill="1" applyBorder="1"/>
    <xf numFmtId="4" fontId="0" fillId="0" borderId="26" xfId="0" applyNumberFormat="1" applyFont="1" applyFill="1" applyBorder="1"/>
    <xf numFmtId="4" fontId="113" fillId="0" borderId="23" xfId="0" applyNumberFormat="1" applyFont="1" applyFill="1" applyBorder="1"/>
    <xf numFmtId="4" fontId="43" fillId="0" borderId="26" xfId="0" applyNumberFormat="1" applyFont="1" applyFill="1" applyBorder="1" applyAlignment="1">
      <alignment horizontal="right"/>
    </xf>
    <xf numFmtId="2" fontId="0" fillId="0" borderId="28" xfId="0" applyNumberFormat="1" applyFont="1" applyFill="1" applyBorder="1"/>
    <xf numFmtId="2" fontId="0" fillId="0" borderId="28" xfId="0" applyNumberFormat="1" applyFont="1" applyFill="1" applyBorder="1" applyAlignment="1">
      <alignment horizontal="right"/>
    </xf>
    <xf numFmtId="4" fontId="16" fillId="0" borderId="32" xfId="0" applyNumberFormat="1" applyFont="1" applyFill="1" applyBorder="1"/>
    <xf numFmtId="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4" fontId="25" fillId="0" borderId="23" xfId="0" applyNumberFormat="1" applyFont="1" applyFill="1" applyBorder="1"/>
    <xf numFmtId="4" fontId="25" fillId="0" borderId="23" xfId="0" applyNumberFormat="1" applyFont="1" applyFill="1" applyBorder="1" applyAlignment="1"/>
    <xf numFmtId="4" fontId="13" fillId="0" borderId="18" xfId="0" applyNumberFormat="1" applyFont="1" applyFill="1" applyBorder="1" applyAlignment="1"/>
    <xf numFmtId="4" fontId="129" fillId="0" borderId="18" xfId="0" applyNumberFormat="1" applyFont="1" applyFill="1" applyBorder="1"/>
    <xf numFmtId="4" fontId="129" fillId="0" borderId="18" xfId="0" applyNumberFormat="1" applyFont="1" applyFill="1" applyBorder="1" applyAlignment="1"/>
    <xf numFmtId="4" fontId="8" fillId="0" borderId="23" xfId="0" applyNumberFormat="1" applyFont="1" applyFill="1" applyBorder="1"/>
    <xf numFmtId="4" fontId="0" fillId="0" borderId="18" xfId="0" applyNumberFormat="1" applyFont="1" applyFill="1" applyBorder="1"/>
    <xf numFmtId="4" fontId="129" fillId="0" borderId="24" xfId="0" applyNumberFormat="1" applyFont="1" applyFill="1" applyBorder="1"/>
    <xf numFmtId="4" fontId="129" fillId="0" borderId="23" xfId="0" applyNumberFormat="1" applyFont="1" applyFill="1" applyBorder="1"/>
    <xf numFmtId="4" fontId="119" fillId="0" borderId="23" xfId="0" applyNumberFormat="1" applyFont="1" applyFill="1" applyBorder="1" applyAlignment="1">
      <alignment horizontal="right"/>
    </xf>
    <xf numFmtId="4" fontId="129" fillId="0" borderId="26" xfId="0" applyNumberFormat="1" applyFont="1" applyFill="1" applyBorder="1" applyAlignment="1"/>
    <xf numFmtId="4" fontId="129" fillId="0" borderId="23" xfId="0" applyNumberFormat="1" applyFont="1" applyFill="1" applyBorder="1" applyAlignment="1">
      <alignment horizontal="right"/>
    </xf>
    <xf numFmtId="4" fontId="13" fillId="0" borderId="2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/>
    <xf numFmtId="4" fontId="0" fillId="0" borderId="43" xfId="0" applyNumberFormat="1" applyFont="1" applyFill="1" applyBorder="1" applyAlignment="1">
      <alignment horizontal="right"/>
    </xf>
    <xf numFmtId="4" fontId="23" fillId="0" borderId="25" xfId="0" applyNumberFormat="1" applyFont="1" applyFill="1" applyBorder="1" applyAlignment="1"/>
    <xf numFmtId="0" fontId="23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30" fillId="0" borderId="4" xfId="0" applyFont="1" applyFill="1" applyBorder="1"/>
    <xf numFmtId="4" fontId="31" fillId="0" borderId="23" xfId="0" applyNumberFormat="1" applyFont="1" applyFill="1" applyBorder="1" applyAlignment="1"/>
    <xf numFmtId="4" fontId="129" fillId="4" borderId="23" xfId="0" applyNumberFormat="1" applyFont="1" applyFill="1" applyBorder="1" applyAlignment="1"/>
    <xf numFmtId="4" fontId="119" fillId="4" borderId="23" xfId="0" applyNumberFormat="1" applyFont="1" applyFill="1" applyBorder="1" applyAlignment="1"/>
    <xf numFmtId="4" fontId="129" fillId="0" borderId="23" xfId="0" applyNumberFormat="1" applyFont="1" applyFill="1" applyBorder="1" applyAlignment="1"/>
    <xf numFmtId="4" fontId="119" fillId="0" borderId="23" xfId="0" applyNumberFormat="1" applyFont="1" applyFill="1" applyBorder="1" applyAlignment="1"/>
    <xf numFmtId="4" fontId="88" fillId="13" borderId="23" xfId="0" applyNumberFormat="1" applyFont="1" applyFill="1" applyBorder="1" applyAlignment="1">
      <alignment horizontal="right"/>
    </xf>
    <xf numFmtId="4" fontId="88" fillId="13" borderId="18" xfId="0" applyNumberFormat="1" applyFont="1" applyFill="1" applyBorder="1" applyAlignment="1"/>
    <xf numFmtId="164" fontId="40" fillId="0" borderId="23" xfId="0" applyNumberFormat="1" applyFont="1" applyFill="1" applyBorder="1"/>
    <xf numFmtId="3" fontId="46" fillId="0" borderId="0" xfId="0" applyNumberFormat="1" applyFont="1" applyFill="1" applyBorder="1" applyAlignment="1">
      <alignment horizontal="center"/>
    </xf>
    <xf numFmtId="4" fontId="23" fillId="0" borderId="23" xfId="0" applyNumberFormat="1" applyFont="1" applyFill="1" applyBorder="1"/>
    <xf numFmtId="4" fontId="13" fillId="0" borderId="18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/>
    </xf>
    <xf numFmtId="164" fontId="13" fillId="0" borderId="29" xfId="0" applyNumberFormat="1" applyFont="1" applyFill="1" applyBorder="1" applyAlignment="1">
      <alignment horizontal="center"/>
    </xf>
    <xf numFmtId="4" fontId="69" fillId="0" borderId="23" xfId="0" applyNumberFormat="1" applyFont="1" applyFill="1" applyBorder="1" applyAlignment="1"/>
    <xf numFmtId="4" fontId="1" fillId="0" borderId="28" xfId="0" applyNumberFormat="1" applyFont="1" applyFill="1" applyBorder="1" applyAlignment="1"/>
    <xf numFmtId="4" fontId="1" fillId="0" borderId="41" xfId="0" applyNumberFormat="1" applyFont="1" applyFill="1" applyBorder="1" applyAlignment="1"/>
    <xf numFmtId="0" fontId="23" fillId="13" borderId="0" xfId="0" applyFont="1" applyFill="1" applyBorder="1"/>
    <xf numFmtId="0" fontId="16" fillId="13" borderId="0" xfId="0" applyFont="1" applyFill="1"/>
    <xf numFmtId="0" fontId="13" fillId="0" borderId="39" xfId="0" applyFont="1" applyFill="1" applyBorder="1" applyAlignment="1"/>
    <xf numFmtId="0" fontId="13" fillId="0" borderId="41" xfId="0" applyFont="1" applyFill="1" applyBorder="1" applyAlignment="1"/>
    <xf numFmtId="0" fontId="23" fillId="13" borderId="39" xfId="0" applyFont="1" applyFill="1" applyBorder="1" applyAlignment="1"/>
    <xf numFmtId="0" fontId="13" fillId="13" borderId="39" xfId="0" applyFont="1" applyFill="1" applyBorder="1" applyAlignment="1"/>
    <xf numFmtId="0" fontId="43" fillId="13" borderId="0" xfId="0" applyFont="1" applyFill="1" applyBorder="1"/>
    <xf numFmtId="4" fontId="26" fillId="13" borderId="23" xfId="0" applyNumberFormat="1" applyFont="1" applyFill="1" applyBorder="1"/>
    <xf numFmtId="4" fontId="88" fillId="13" borderId="23" xfId="0" applyNumberFormat="1" applyFont="1" applyFill="1" applyBorder="1" applyAlignment="1"/>
    <xf numFmtId="4" fontId="131" fillId="13" borderId="23" xfId="0" applyNumberFormat="1" applyFont="1" applyFill="1" applyBorder="1" applyAlignment="1"/>
    <xf numFmtId="4" fontId="131" fillId="13" borderId="23" xfId="0" applyNumberFormat="1" applyFont="1" applyFill="1" applyBorder="1" applyAlignment="1">
      <alignment horizontal="right"/>
    </xf>
    <xf numFmtId="4" fontId="132" fillId="13" borderId="23" xfId="0" applyNumberFormat="1" applyFont="1" applyFill="1" applyBorder="1" applyAlignment="1"/>
    <xf numFmtId="4" fontId="132" fillId="13" borderId="23" xfId="0" applyNumberFormat="1" applyFont="1" applyFill="1" applyBorder="1" applyAlignment="1">
      <alignment horizontal="right"/>
    </xf>
    <xf numFmtId="4" fontId="19" fillId="0" borderId="23" xfId="0" applyNumberFormat="1" applyFont="1" applyFill="1" applyBorder="1"/>
    <xf numFmtId="4" fontId="133" fillId="0" borderId="24" xfId="0" applyNumberFormat="1" applyFont="1" applyFill="1" applyBorder="1" applyAlignment="1">
      <alignment horizontal="right"/>
    </xf>
    <xf numFmtId="4" fontId="133" fillId="0" borderId="41" xfId="0" applyNumberFormat="1" applyFont="1" applyFill="1" applyBorder="1" applyAlignment="1"/>
    <xf numFmtId="4" fontId="69" fillId="0" borderId="24" xfId="0" applyNumberFormat="1" applyFont="1" applyFill="1" applyBorder="1" applyAlignment="1">
      <alignment horizontal="right"/>
    </xf>
    <xf numFmtId="4" fontId="69" fillId="0" borderId="28" xfId="0" applyNumberFormat="1" applyFont="1" applyFill="1" applyBorder="1" applyAlignment="1"/>
    <xf numFmtId="0" fontId="130" fillId="0" borderId="7" xfId="0" applyFont="1" applyFill="1" applyBorder="1"/>
    <xf numFmtId="0" fontId="52" fillId="13" borderId="0" xfId="0" applyFont="1" applyFill="1" applyBorder="1"/>
    <xf numFmtId="0" fontId="1" fillId="13" borderId="0" xfId="0" applyFont="1" applyFill="1" applyBorder="1"/>
    <xf numFmtId="4" fontId="1" fillId="13" borderId="18" xfId="0" applyNumberFormat="1" applyFont="1" applyFill="1" applyBorder="1" applyAlignment="1">
      <alignment horizontal="center"/>
    </xf>
    <xf numFmtId="4" fontId="1" fillId="13" borderId="18" xfId="0" applyNumberFormat="1" applyFont="1" applyFill="1" applyBorder="1" applyAlignment="1"/>
    <xf numFmtId="164" fontId="1" fillId="13" borderId="18" xfId="0" applyNumberFormat="1" applyFont="1" applyFill="1" applyBorder="1" applyAlignment="1">
      <alignment horizontal="center"/>
    </xf>
    <xf numFmtId="4" fontId="134" fillId="13" borderId="18" xfId="0" applyNumberFormat="1" applyFont="1" applyFill="1" applyBorder="1" applyAlignment="1"/>
    <xf numFmtId="4" fontId="134" fillId="13" borderId="18" xfId="0" applyNumberFormat="1" applyFont="1" applyFill="1" applyBorder="1" applyAlignment="1">
      <alignment horizontal="right"/>
    </xf>
    <xf numFmtId="0" fontId="81" fillId="0" borderId="0" xfId="0" applyFont="1" applyFill="1"/>
    <xf numFmtId="4" fontId="40" fillId="0" borderId="0" xfId="0" applyNumberFormat="1" applyFont="1" applyFill="1"/>
    <xf numFmtId="3" fontId="13" fillId="0" borderId="0" xfId="0" applyNumberFormat="1" applyFont="1" applyFill="1"/>
    <xf numFmtId="3" fontId="23" fillId="0" borderId="0" xfId="0" applyNumberFormat="1" applyFont="1" applyFill="1"/>
    <xf numFmtId="0" fontId="40" fillId="0" borderId="0" xfId="0" applyFont="1" applyFill="1" applyBorder="1"/>
    <xf numFmtId="0" fontId="77" fillId="0" borderId="0" xfId="0" applyFont="1" applyFill="1"/>
    <xf numFmtId="3" fontId="77" fillId="0" borderId="0" xfId="0" applyNumberFormat="1" applyFont="1" applyFill="1"/>
    <xf numFmtId="2" fontId="16" fillId="0" borderId="0" xfId="0" applyNumberFormat="1" applyFont="1" applyFill="1"/>
    <xf numFmtId="0" fontId="55" fillId="0" borderId="0" xfId="0" applyFont="1" applyFill="1"/>
    <xf numFmtId="0" fontId="55" fillId="0" borderId="0" xfId="0" applyFont="1" applyFill="1" applyBorder="1"/>
    <xf numFmtId="4" fontId="119" fillId="0" borderId="48" xfId="0" applyNumberFormat="1" applyFont="1" applyFill="1" applyBorder="1" applyAlignment="1"/>
    <xf numFmtId="4" fontId="119" fillId="0" borderId="49" xfId="0" applyNumberFormat="1" applyFont="1" applyFill="1" applyBorder="1" applyAlignment="1">
      <alignment horizontal="right"/>
    </xf>
    <xf numFmtId="4" fontId="23" fillId="0" borderId="18" xfId="0" applyNumberFormat="1" applyFont="1" applyFill="1" applyBorder="1" applyAlignment="1"/>
    <xf numFmtId="4" fontId="129" fillId="13" borderId="23" xfId="0" applyNumberFormat="1" applyFont="1" applyFill="1" applyBorder="1"/>
    <xf numFmtId="4" fontId="119" fillId="13" borderId="26" xfId="0" applyNumberFormat="1" applyFont="1" applyFill="1" applyBorder="1" applyAlignment="1"/>
    <xf numFmtId="4" fontId="119" fillId="13" borderId="23" xfId="0" applyNumberFormat="1" applyFont="1" applyFill="1" applyBorder="1" applyAlignment="1">
      <alignment horizontal="right"/>
    </xf>
    <xf numFmtId="4" fontId="88" fillId="13" borderId="26" xfId="0" applyNumberFormat="1" applyFont="1" applyFill="1" applyBorder="1" applyAlignment="1">
      <alignment horizontal="right"/>
    </xf>
    <xf numFmtId="4" fontId="26" fillId="13" borderId="43" xfId="0" applyNumberFormat="1" applyFont="1" applyFill="1" applyBorder="1" applyAlignment="1">
      <alignment horizontal="right"/>
    </xf>
    <xf numFmtId="4" fontId="135" fillId="13" borderId="23" xfId="0" applyNumberFormat="1" applyFont="1" applyFill="1" applyBorder="1" applyAlignment="1"/>
    <xf numFmtId="4" fontId="135" fillId="13" borderId="23" xfId="0" applyNumberFormat="1" applyFont="1" applyFill="1" applyBorder="1" applyAlignment="1">
      <alignment horizontal="right"/>
    </xf>
    <xf numFmtId="4" fontId="26" fillId="13" borderId="23" xfId="0" applyNumberFormat="1" applyFont="1" applyFill="1" applyBorder="1" applyAlignment="1">
      <alignment horizontal="right"/>
    </xf>
    <xf numFmtId="4" fontId="0" fillId="7" borderId="29" xfId="0" applyNumberFormat="1" applyFont="1" applyFill="1" applyBorder="1" applyAlignment="1"/>
    <xf numFmtId="4" fontId="0" fillId="7" borderId="32" xfId="0" applyNumberFormat="1" applyFont="1" applyFill="1" applyBorder="1" applyAlignment="1">
      <alignment horizontal="right"/>
    </xf>
    <xf numFmtId="3" fontId="37" fillId="0" borderId="16" xfId="0" applyNumberFormat="1" applyFont="1" applyFill="1" applyBorder="1"/>
    <xf numFmtId="0" fontId="0" fillId="0" borderId="0" xfId="0" applyAlignment="1"/>
    <xf numFmtId="4" fontId="36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4" fontId="16" fillId="7" borderId="0" xfId="0" applyNumberFormat="1" applyFont="1" applyFill="1"/>
    <xf numFmtId="0" fontId="16" fillId="7" borderId="0" xfId="0" applyFont="1" applyFill="1"/>
    <xf numFmtId="0" fontId="17" fillId="7" borderId="0" xfId="0" applyFont="1" applyFill="1"/>
    <xf numFmtId="4" fontId="16" fillId="7" borderId="10" xfId="0" applyNumberFormat="1" applyFont="1" applyFill="1" applyBorder="1" applyAlignment="1">
      <alignment horizontal="center"/>
    </xf>
    <xf numFmtId="0" fontId="16" fillId="7" borderId="1" xfId="0" applyFont="1" applyFill="1" applyBorder="1"/>
    <xf numFmtId="0" fontId="16" fillId="7" borderId="2" xfId="0" applyFont="1" applyFill="1" applyBorder="1"/>
    <xf numFmtId="0" fontId="16" fillId="7" borderId="6" xfId="0" applyFont="1" applyFill="1" applyBorder="1"/>
    <xf numFmtId="0" fontId="16" fillId="7" borderId="7" xfId="0" applyFont="1" applyFill="1" applyBorder="1"/>
    <xf numFmtId="4" fontId="16" fillId="7" borderId="15" xfId="0" applyNumberFormat="1" applyFont="1" applyFill="1" applyBorder="1" applyAlignment="1">
      <alignment horizontal="center"/>
    </xf>
    <xf numFmtId="0" fontId="16" fillId="7" borderId="0" xfId="0" applyFont="1" applyFill="1" applyBorder="1"/>
    <xf numFmtId="0" fontId="16" fillId="7" borderId="5" xfId="0" applyFont="1" applyFill="1" applyBorder="1"/>
    <xf numFmtId="4" fontId="0" fillId="7" borderId="5" xfId="0" applyNumberFormat="1" applyFont="1" applyFill="1" applyBorder="1" applyAlignment="1">
      <alignment horizontal="center"/>
    </xf>
    <xf numFmtId="4" fontId="0" fillId="7" borderId="18" xfId="0" applyNumberFormat="1" applyFont="1" applyFill="1" applyBorder="1" applyAlignment="1">
      <alignment horizontal="center"/>
    </xf>
    <xf numFmtId="0" fontId="16" fillId="7" borderId="12" xfId="0" applyFont="1" applyFill="1" applyBorder="1"/>
    <xf numFmtId="0" fontId="16" fillId="7" borderId="13" xfId="0" applyFont="1" applyFill="1" applyBorder="1"/>
    <xf numFmtId="4" fontId="16" fillId="7" borderId="9" xfId="0" applyNumberFormat="1" applyFont="1" applyFill="1" applyBorder="1" applyAlignment="1">
      <alignment horizontal="center"/>
    </xf>
    <xf numFmtId="0" fontId="0" fillId="7" borderId="13" xfId="0" applyFont="1" applyFill="1" applyBorder="1"/>
    <xf numFmtId="4" fontId="43" fillId="7" borderId="80" xfId="0" applyNumberFormat="1" applyFont="1" applyFill="1" applyBorder="1" applyAlignment="1">
      <alignment horizontal="center"/>
    </xf>
    <xf numFmtId="4" fontId="43" fillId="7" borderId="81" xfId="0" applyNumberFormat="1" applyFont="1" applyFill="1" applyBorder="1" applyAlignment="1">
      <alignment horizontal="center"/>
    </xf>
    <xf numFmtId="4" fontId="43" fillId="7" borderId="4" xfId="0" applyNumberFormat="1" applyFont="1" applyFill="1" applyBorder="1" applyAlignment="1">
      <alignment horizontal="center"/>
    </xf>
    <xf numFmtId="4" fontId="43" fillId="7" borderId="11" xfId="0" applyNumberFormat="1" applyFont="1" applyFill="1" applyBorder="1" applyAlignment="1">
      <alignment horizontal="center"/>
    </xf>
    <xf numFmtId="4" fontId="43" fillId="7" borderId="5" xfId="0" applyNumberFormat="1" applyFont="1" applyFill="1" applyBorder="1" applyAlignment="1">
      <alignment horizontal="center"/>
    </xf>
    <xf numFmtId="0" fontId="17" fillId="7" borderId="49" xfId="0" applyFont="1" applyFill="1" applyBorder="1"/>
    <xf numFmtId="4" fontId="0" fillId="7" borderId="51" xfId="0" applyNumberFormat="1" applyFont="1" applyFill="1" applyBorder="1"/>
    <xf numFmtId="4" fontId="43" fillId="7" borderId="9" xfId="0" applyNumberFormat="1" applyFont="1" applyFill="1" applyBorder="1" applyAlignment="1">
      <alignment horizontal="center"/>
    </xf>
    <xf numFmtId="4" fontId="43" fillId="7" borderId="14" xfId="0" applyNumberFormat="1" applyFont="1" applyFill="1" applyBorder="1" applyAlignment="1">
      <alignment horizontal="center"/>
    </xf>
    <xf numFmtId="4" fontId="0" fillId="7" borderId="49" xfId="0" applyNumberFormat="1" applyFont="1" applyFill="1" applyBorder="1"/>
    <xf numFmtId="0" fontId="19" fillId="7" borderId="0" xfId="0" applyFont="1" applyFill="1" applyBorder="1"/>
    <xf numFmtId="49" fontId="51" fillId="7" borderId="42" xfId="0" applyNumberFormat="1" applyFont="1" applyFill="1" applyBorder="1"/>
    <xf numFmtId="2" fontId="39" fillId="7" borderId="25" xfId="0" applyNumberFormat="1" applyFont="1" applyFill="1" applyBorder="1"/>
    <xf numFmtId="2" fontId="39" fillId="7" borderId="0" xfId="0" applyNumberFormat="1" applyFont="1" applyFill="1" applyBorder="1" applyAlignment="1">
      <alignment horizontal="right"/>
    </xf>
    <xf numFmtId="49" fontId="51" fillId="7" borderId="49" xfId="0" applyNumberFormat="1" applyFont="1" applyFill="1" applyBorder="1"/>
    <xf numFmtId="4" fontId="51" fillId="7" borderId="51" xfId="0" applyNumberFormat="1" applyFont="1" applyFill="1" applyBorder="1"/>
    <xf numFmtId="4" fontId="51" fillId="7" borderId="48" xfId="0" applyNumberFormat="1" applyFont="1" applyFill="1" applyBorder="1"/>
    <xf numFmtId="4" fontId="39" fillId="7" borderId="0" xfId="0" applyNumberFormat="1" applyFont="1" applyFill="1" applyBorder="1"/>
    <xf numFmtId="0" fontId="16" fillId="7" borderId="21" xfId="0" applyFont="1" applyFill="1" applyBorder="1" applyAlignment="1">
      <alignment horizontal="center" wrapText="1"/>
    </xf>
    <xf numFmtId="2" fontId="51" fillId="7" borderId="26" xfId="0" applyNumberFormat="1" applyFont="1" applyFill="1" applyBorder="1" applyAlignment="1">
      <alignment horizontal="right"/>
    </xf>
    <xf numFmtId="2" fontId="51" fillId="7" borderId="5" xfId="0" applyNumberFormat="1" applyFont="1" applyFill="1" applyBorder="1" applyAlignment="1">
      <alignment horizontal="right"/>
    </xf>
    <xf numFmtId="4" fontId="51" fillId="7" borderId="14" xfId="0" applyNumberFormat="1" applyFont="1" applyFill="1" applyBorder="1"/>
    <xf numFmtId="2" fontId="39" fillId="7" borderId="28" xfId="0" applyNumberFormat="1" applyFont="1" applyFill="1" applyBorder="1" applyAlignment="1">
      <alignment horizontal="right"/>
    </xf>
    <xf numFmtId="49" fontId="51" fillId="7" borderId="40" xfId="0" applyNumberFormat="1" applyFont="1" applyFill="1" applyBorder="1"/>
    <xf numFmtId="2" fontId="39" fillId="7" borderId="74" xfId="0" applyNumberFormat="1" applyFont="1" applyFill="1" applyBorder="1"/>
    <xf numFmtId="2" fontId="39" fillId="7" borderId="82" xfId="0" applyNumberFormat="1" applyFont="1" applyFill="1" applyBorder="1" applyAlignment="1">
      <alignment horizontal="right"/>
    </xf>
    <xf numFmtId="0" fontId="16" fillId="7" borderId="49" xfId="0" applyFont="1" applyFill="1" applyBorder="1" applyAlignment="1"/>
    <xf numFmtId="0" fontId="16" fillId="7" borderId="51" xfId="0" applyFont="1" applyFill="1" applyBorder="1" applyAlignment="1">
      <alignment horizontal="center" wrapText="1"/>
    </xf>
    <xf numFmtId="0" fontId="16" fillId="7" borderId="48" xfId="0" applyFont="1" applyFill="1" applyBorder="1" applyAlignment="1">
      <alignment horizontal="center" wrapText="1"/>
    </xf>
    <xf numFmtId="49" fontId="51" fillId="7" borderId="77" xfId="0" applyNumberFormat="1" applyFont="1" applyFill="1" applyBorder="1"/>
    <xf numFmtId="2" fontId="39" fillId="7" borderId="73" xfId="0" applyNumberFormat="1" applyFont="1" applyFill="1" applyBorder="1"/>
    <xf numFmtId="2" fontId="39" fillId="7" borderId="78" xfId="0" applyNumberFormat="1" applyFont="1" applyFill="1" applyBorder="1" applyAlignment="1">
      <alignment horizontal="right"/>
    </xf>
    <xf numFmtId="0" fontId="23" fillId="7" borderId="0" xfId="0" applyFont="1" applyFill="1"/>
    <xf numFmtId="4" fontId="23" fillId="7" borderId="0" xfId="0" applyNumberFormat="1" applyFont="1" applyFill="1"/>
    <xf numFmtId="4" fontId="17" fillId="7" borderId="0" xfId="0" applyNumberFormat="1" applyFont="1" applyFill="1"/>
    <xf numFmtId="0" fontId="17" fillId="7" borderId="0" xfId="0" applyFont="1" applyFill="1" applyAlignment="1">
      <alignment horizontal="center"/>
    </xf>
    <xf numFmtId="0" fontId="16" fillId="7" borderId="3" xfId="0" applyFont="1" applyFill="1" applyBorder="1"/>
    <xf numFmtId="4" fontId="16" fillId="7" borderId="5" xfId="0" applyNumberFormat="1" applyFont="1" applyFill="1" applyBorder="1" applyAlignment="1">
      <alignment horizontal="center"/>
    </xf>
    <xf numFmtId="4" fontId="16" fillId="7" borderId="4" xfId="0" applyNumberFormat="1" applyFont="1" applyFill="1" applyBorder="1" applyAlignment="1">
      <alignment horizontal="center"/>
    </xf>
    <xf numFmtId="4" fontId="16" fillId="7" borderId="11" xfId="0" applyNumberFormat="1" applyFont="1" applyFill="1" applyBorder="1" applyAlignment="1">
      <alignment horizontal="center"/>
    </xf>
    <xf numFmtId="0" fontId="16" fillId="7" borderId="8" xfId="0" applyFont="1" applyFill="1" applyBorder="1"/>
    <xf numFmtId="4" fontId="16" fillId="7" borderId="41" xfId="0" applyNumberFormat="1" applyFont="1" applyFill="1" applyBorder="1" applyAlignment="1">
      <alignment horizontal="center"/>
    </xf>
    <xf numFmtId="4" fontId="16" fillId="7" borderId="35" xfId="0" applyNumberFormat="1" applyFont="1" applyFill="1" applyBorder="1" applyAlignment="1">
      <alignment horizontal="center"/>
    </xf>
    <xf numFmtId="4" fontId="16" fillId="7" borderId="34" xfId="0" applyNumberFormat="1" applyFont="1" applyFill="1" applyBorder="1" applyAlignment="1">
      <alignment horizontal="center"/>
    </xf>
    <xf numFmtId="4" fontId="17" fillId="7" borderId="15" xfId="0" applyNumberFormat="1" applyFont="1" applyFill="1" applyBorder="1" applyAlignment="1">
      <alignment horizontal="center"/>
    </xf>
    <xf numFmtId="0" fontId="13" fillId="7" borderId="2" xfId="0" applyFont="1" applyFill="1" applyBorder="1"/>
    <xf numFmtId="4" fontId="16" fillId="7" borderId="23" xfId="0" applyNumberFormat="1" applyFont="1" applyFill="1" applyBorder="1" applyAlignment="1">
      <alignment horizontal="center"/>
    </xf>
    <xf numFmtId="4" fontId="16" fillId="7" borderId="24" xfId="0" applyNumberFormat="1" applyFont="1" applyFill="1" applyBorder="1" applyAlignment="1">
      <alignment horizontal="center"/>
    </xf>
    <xf numFmtId="0" fontId="0" fillId="7" borderId="13" xfId="0" applyFill="1" applyBorder="1"/>
    <xf numFmtId="0" fontId="0" fillId="7" borderId="7" xfId="0" applyFill="1" applyBorder="1"/>
    <xf numFmtId="0" fontId="1" fillId="7" borderId="0" xfId="0" applyFont="1" applyFill="1" applyBorder="1"/>
    <xf numFmtId="4" fontId="16" fillId="7" borderId="18" xfId="0" applyNumberFormat="1" applyFont="1" applyFill="1" applyBorder="1" applyAlignment="1">
      <alignment horizontal="center"/>
    </xf>
    <xf numFmtId="4" fontId="16" fillId="7" borderId="19" xfId="0" applyNumberFormat="1" applyFont="1" applyFill="1" applyBorder="1" applyAlignment="1">
      <alignment horizontal="center"/>
    </xf>
    <xf numFmtId="4" fontId="16" fillId="7" borderId="17" xfId="0" applyNumberFormat="1" applyFont="1" applyFill="1" applyBorder="1" applyAlignment="1">
      <alignment horizontal="center"/>
    </xf>
    <xf numFmtId="4" fontId="16" fillId="7" borderId="39" xfId="0" applyNumberFormat="1" applyFont="1" applyFill="1" applyBorder="1" applyAlignment="1">
      <alignment horizontal="center"/>
    </xf>
    <xf numFmtId="4" fontId="16" fillId="7" borderId="29" xfId="0" applyNumberFormat="1" applyFont="1" applyFill="1" applyBorder="1" applyAlignment="1">
      <alignment horizontal="center"/>
    </xf>
    <xf numFmtId="4" fontId="16" fillId="7" borderId="30" xfId="0" applyNumberFormat="1" applyFont="1" applyFill="1" applyBorder="1" applyAlignment="1">
      <alignment horizontal="center"/>
    </xf>
    <xf numFmtId="4" fontId="16" fillId="7" borderId="25" xfId="0" applyNumberFormat="1" applyFont="1" applyFill="1" applyBorder="1" applyAlignment="1">
      <alignment horizontal="center"/>
    </xf>
    <xf numFmtId="4" fontId="16" fillId="7" borderId="12" xfId="0" applyNumberFormat="1" applyFont="1" applyFill="1" applyBorder="1" applyAlignment="1">
      <alignment horizontal="center"/>
    </xf>
    <xf numFmtId="4" fontId="16" fillId="7" borderId="20" xfId="0" applyNumberFormat="1" applyFont="1" applyFill="1" applyBorder="1" applyAlignment="1">
      <alignment horizontal="center"/>
    </xf>
    <xf numFmtId="4" fontId="16" fillId="7" borderId="36" xfId="0" applyNumberFormat="1" applyFont="1" applyFill="1" applyBorder="1" applyAlignment="1">
      <alignment horizontal="center"/>
    </xf>
    <xf numFmtId="4" fontId="16" fillId="7" borderId="6" xfId="0" applyNumberFormat="1" applyFont="1" applyFill="1" applyBorder="1" applyAlignment="1">
      <alignment horizontal="center"/>
    </xf>
    <xf numFmtId="0" fontId="13" fillId="7" borderId="1" xfId="0" applyFont="1" applyFill="1" applyBorder="1"/>
    <xf numFmtId="4" fontId="16" fillId="7" borderId="14" xfId="0" applyNumberFormat="1" applyFont="1" applyFill="1" applyBorder="1" applyAlignment="1">
      <alignment horizontal="center"/>
    </xf>
    <xf numFmtId="4" fontId="0" fillId="7" borderId="12" xfId="0" applyNumberFormat="1" applyFont="1" applyFill="1" applyBorder="1" applyAlignment="1">
      <alignment horizontal="center"/>
    </xf>
    <xf numFmtId="4" fontId="0" fillId="7" borderId="9" xfId="0" applyNumberFormat="1" applyFont="1" applyFill="1" applyBorder="1" applyAlignment="1">
      <alignment horizontal="center"/>
    </xf>
    <xf numFmtId="4" fontId="16" fillId="7" borderId="52" xfId="0" applyNumberFormat="1" applyFont="1" applyFill="1" applyBorder="1" applyAlignment="1">
      <alignment horizontal="center"/>
    </xf>
    <xf numFmtId="4" fontId="16" fillId="7" borderId="62" xfId="0" applyNumberFormat="1" applyFont="1" applyFill="1" applyBorder="1" applyAlignment="1">
      <alignment horizontal="center"/>
    </xf>
    <xf numFmtId="4" fontId="16" fillId="7" borderId="51" xfId="0" applyNumberFormat="1" applyFont="1" applyFill="1" applyBorder="1" applyAlignment="1">
      <alignment horizontal="center"/>
    </xf>
    <xf numFmtId="3" fontId="17" fillId="7" borderId="0" xfId="0" applyNumberFormat="1" applyFont="1" applyFill="1"/>
    <xf numFmtId="4" fontId="16" fillId="7" borderId="0" xfId="0" applyNumberFormat="1" applyFont="1" applyFill="1" applyBorder="1"/>
    <xf numFmtId="0" fontId="17" fillId="7" borderId="0" xfId="0" applyFont="1" applyFill="1" applyBorder="1"/>
    <xf numFmtId="4" fontId="0" fillId="7" borderId="0" xfId="0" applyNumberFormat="1" applyFont="1" applyFill="1"/>
    <xf numFmtId="0" fontId="74" fillId="7" borderId="0" xfId="0" applyFont="1" applyFill="1"/>
    <xf numFmtId="0" fontId="16" fillId="7" borderId="49" xfId="0" applyFont="1" applyFill="1" applyBorder="1"/>
    <xf numFmtId="4" fontId="17" fillId="7" borderId="51" xfId="0" applyNumberFormat="1" applyFont="1" applyFill="1" applyBorder="1"/>
    <xf numFmtId="4" fontId="16" fillId="7" borderId="9" xfId="0" applyNumberFormat="1" applyFont="1" applyFill="1" applyBorder="1"/>
    <xf numFmtId="4" fontId="16" fillId="7" borderId="12" xfId="0" applyNumberFormat="1" applyFont="1" applyFill="1" applyBorder="1"/>
    <xf numFmtId="4" fontId="17" fillId="7" borderId="15" xfId="0" applyNumberFormat="1" applyFont="1" applyFill="1" applyBorder="1"/>
    <xf numFmtId="0" fontId="85" fillId="7" borderId="1" xfId="0" applyFont="1" applyFill="1" applyBorder="1"/>
    <xf numFmtId="0" fontId="43" fillId="7" borderId="2" xfId="0" applyFont="1" applyFill="1" applyBorder="1"/>
    <xf numFmtId="0" fontId="43" fillId="7" borderId="3" xfId="0" applyFont="1" applyFill="1" applyBorder="1"/>
    <xf numFmtId="4" fontId="0" fillId="7" borderId="26" xfId="0" applyNumberFormat="1" applyFont="1" applyFill="1" applyBorder="1" applyAlignment="1">
      <alignment horizontal="center"/>
    </xf>
    <xf numFmtId="4" fontId="0" fillId="7" borderId="24" xfId="0" applyNumberFormat="1" applyFont="1" applyFill="1" applyBorder="1" applyAlignment="1">
      <alignment horizontal="center"/>
    </xf>
    <xf numFmtId="4" fontId="0" fillId="7" borderId="23" xfId="0" applyNumberFormat="1" applyFont="1" applyFill="1" applyBorder="1" applyAlignment="1">
      <alignment horizontal="center"/>
    </xf>
    <xf numFmtId="0" fontId="0" fillId="7" borderId="10" xfId="0" applyFont="1" applyFill="1" applyBorder="1"/>
    <xf numFmtId="0" fontId="0" fillId="7" borderId="3" xfId="0" applyFont="1" applyFill="1" applyBorder="1"/>
    <xf numFmtId="0" fontId="0" fillId="7" borderId="26" xfId="0" applyFont="1" applyFill="1" applyBorder="1"/>
    <xf numFmtId="0" fontId="48" fillId="7" borderId="26" xfId="0" applyFont="1" applyFill="1" applyBorder="1"/>
    <xf numFmtId="165" fontId="16" fillId="7" borderId="23" xfId="0" applyNumberFormat="1" applyFont="1" applyFill="1" applyBorder="1"/>
    <xf numFmtId="165" fontId="0" fillId="7" borderId="26" xfId="0" applyNumberFormat="1" applyFont="1" applyFill="1" applyBorder="1"/>
    <xf numFmtId="165" fontId="0" fillId="7" borderId="23" xfId="0" applyNumberFormat="1" applyFont="1" applyFill="1" applyBorder="1"/>
    <xf numFmtId="0" fontId="0" fillId="7" borderId="43" xfId="0" applyFont="1" applyFill="1" applyBorder="1"/>
    <xf numFmtId="4" fontId="0" fillId="7" borderId="43" xfId="0" applyNumberFormat="1" applyFont="1" applyFill="1" applyBorder="1" applyAlignment="1">
      <alignment horizontal="center"/>
    </xf>
    <xf numFmtId="4" fontId="0" fillId="7" borderId="19" xfId="0" applyNumberFormat="1" applyFont="1" applyFill="1" applyBorder="1" applyAlignment="1">
      <alignment horizontal="center"/>
    </xf>
    <xf numFmtId="0" fontId="0" fillId="7" borderId="18" xfId="0" applyFont="1" applyFill="1" applyBorder="1"/>
    <xf numFmtId="0" fontId="0" fillId="7" borderId="14" xfId="0" applyFont="1" applyFill="1" applyBorder="1"/>
    <xf numFmtId="4" fontId="0" fillId="7" borderId="14" xfId="0" applyNumberFormat="1" applyFont="1" applyFill="1" applyBorder="1" applyAlignment="1">
      <alignment horizontal="center"/>
    </xf>
    <xf numFmtId="4" fontId="17" fillId="7" borderId="9" xfId="0" applyNumberFormat="1" applyFont="1" applyFill="1" applyBorder="1"/>
    <xf numFmtId="4" fontId="17" fillId="7" borderId="14" xfId="0" applyNumberFormat="1" applyFont="1" applyFill="1" applyBorder="1"/>
    <xf numFmtId="4" fontId="17" fillId="7" borderId="21" xfId="0" applyNumberFormat="1" applyFont="1" applyFill="1" applyBorder="1"/>
    <xf numFmtId="0" fontId="0" fillId="7" borderId="5" xfId="0" applyFont="1" applyFill="1" applyBorder="1"/>
    <xf numFmtId="4" fontId="0" fillId="7" borderId="41" xfId="0" applyNumberFormat="1" applyFont="1" applyFill="1" applyBorder="1" applyAlignment="1">
      <alignment horizontal="center"/>
    </xf>
    <xf numFmtId="4" fontId="0" fillId="7" borderId="35" xfId="0" applyNumberFormat="1" applyFont="1" applyFill="1" applyBorder="1" applyAlignment="1">
      <alignment horizontal="center"/>
    </xf>
    <xf numFmtId="4" fontId="0" fillId="7" borderId="34" xfId="0" applyNumberFormat="1" applyFont="1" applyFill="1" applyBorder="1" applyAlignment="1">
      <alignment horizontal="center"/>
    </xf>
    <xf numFmtId="4" fontId="17" fillId="7" borderId="34" xfId="0" applyNumberFormat="1" applyFont="1" applyFill="1" applyBorder="1"/>
    <xf numFmtId="4" fontId="17" fillId="7" borderId="41" xfId="0" applyNumberFormat="1" applyFont="1" applyFill="1" applyBorder="1"/>
    <xf numFmtId="0" fontId="0" fillId="7" borderId="8" xfId="0" applyFont="1" applyFill="1" applyBorder="1"/>
    <xf numFmtId="4" fontId="0" fillId="7" borderId="32" xfId="0" applyNumberFormat="1" applyFont="1" applyFill="1" applyBorder="1" applyAlignment="1">
      <alignment horizontal="center"/>
    </xf>
    <xf numFmtId="4" fontId="0" fillId="7" borderId="30" xfId="0" applyNumberFormat="1" applyFont="1" applyFill="1" applyBorder="1" applyAlignment="1">
      <alignment horizontal="center"/>
    </xf>
    <xf numFmtId="4" fontId="0" fillId="7" borderId="29" xfId="0" applyNumberFormat="1" applyFont="1" applyFill="1" applyBorder="1" applyAlignment="1">
      <alignment horizontal="center"/>
    </xf>
    <xf numFmtId="0" fontId="0" fillId="7" borderId="7" xfId="0" applyFont="1" applyFill="1" applyBorder="1"/>
    <xf numFmtId="4" fontId="17" fillId="7" borderId="8" xfId="0" applyNumberFormat="1" applyFont="1" applyFill="1" applyBorder="1"/>
    <xf numFmtId="0" fontId="18" fillId="7" borderId="1" xfId="0" applyFont="1" applyFill="1" applyBorder="1"/>
    <xf numFmtId="0" fontId="38" fillId="7" borderId="2" xfId="0" applyFont="1" applyFill="1" applyBorder="1"/>
    <xf numFmtId="165" fontId="16" fillId="7" borderId="39" xfId="0" applyNumberFormat="1" applyFont="1" applyFill="1" applyBorder="1"/>
    <xf numFmtId="0" fontId="0" fillId="7" borderId="25" xfId="0" applyFont="1" applyFill="1" applyBorder="1" applyAlignment="1"/>
    <xf numFmtId="165" fontId="16" fillId="7" borderId="27" xfId="0" applyNumberFormat="1" applyFont="1" applyFill="1" applyBorder="1"/>
    <xf numFmtId="0" fontId="0" fillId="7" borderId="25" xfId="0" applyFont="1" applyFill="1" applyBorder="1"/>
    <xf numFmtId="165" fontId="16" fillId="7" borderId="18" xfId="0" applyNumberFormat="1" applyFont="1" applyFill="1" applyBorder="1"/>
    <xf numFmtId="165" fontId="16" fillId="7" borderId="17" xfId="0" applyNumberFormat="1" applyFont="1" applyFill="1" applyBorder="1"/>
    <xf numFmtId="0" fontId="0" fillId="7" borderId="17" xfId="0" applyFont="1" applyFill="1" applyBorder="1"/>
    <xf numFmtId="4" fontId="0" fillId="7" borderId="17" xfId="0" applyNumberFormat="1" applyFont="1" applyFill="1" applyBorder="1" applyAlignment="1">
      <alignment horizontal="center"/>
    </xf>
    <xf numFmtId="0" fontId="0" fillId="7" borderId="39" xfId="0" applyFont="1" applyFill="1" applyBorder="1"/>
    <xf numFmtId="4" fontId="0" fillId="7" borderId="39" xfId="0" applyNumberFormat="1" applyFont="1" applyFill="1" applyBorder="1" applyAlignment="1">
      <alignment horizontal="center"/>
    </xf>
    <xf numFmtId="165" fontId="16" fillId="7" borderId="34" xfId="0" applyNumberFormat="1" applyFont="1" applyFill="1" applyBorder="1"/>
    <xf numFmtId="165" fontId="16" fillId="7" borderId="29" xfId="0" applyNumberFormat="1" applyFont="1" applyFill="1" applyBorder="1"/>
    <xf numFmtId="0" fontId="85" fillId="7" borderId="12" xfId="0" applyFont="1" applyFill="1" applyBorder="1"/>
    <xf numFmtId="0" fontId="43" fillId="7" borderId="13" xfId="0" applyFont="1" applyFill="1" applyBorder="1"/>
    <xf numFmtId="4" fontId="0" fillId="7" borderId="21" xfId="0" applyNumberFormat="1" applyFont="1" applyFill="1" applyBorder="1" applyAlignment="1">
      <alignment horizontal="center"/>
    </xf>
    <xf numFmtId="4" fontId="0" fillId="7" borderId="36" xfId="0" applyNumberFormat="1" applyFont="1" applyFill="1" applyBorder="1" applyAlignment="1">
      <alignment horizontal="center"/>
    </xf>
    <xf numFmtId="4" fontId="0" fillId="7" borderId="20" xfId="0" applyNumberFormat="1" applyFont="1" applyFill="1" applyBorder="1" applyAlignment="1">
      <alignment horizontal="center"/>
    </xf>
    <xf numFmtId="165" fontId="16" fillId="7" borderId="32" xfId="0" applyNumberFormat="1" applyFont="1" applyFill="1" applyBorder="1"/>
    <xf numFmtId="0" fontId="85" fillId="7" borderId="5" xfId="0" applyFont="1" applyFill="1" applyBorder="1" applyAlignment="1">
      <alignment wrapText="1"/>
    </xf>
    <xf numFmtId="4" fontId="0" fillId="7" borderId="4" xfId="0" applyNumberFormat="1" applyFont="1" applyFill="1" applyBorder="1" applyAlignment="1">
      <alignment horizontal="center"/>
    </xf>
    <xf numFmtId="4" fontId="0" fillId="7" borderId="11" xfId="0" applyNumberFormat="1" applyFont="1" applyFill="1" applyBorder="1" applyAlignment="1">
      <alignment horizontal="center"/>
    </xf>
    <xf numFmtId="0" fontId="0" fillId="7" borderId="1" xfId="0" applyFont="1" applyFill="1" applyBorder="1" applyAlignment="1"/>
    <xf numFmtId="0" fontId="0" fillId="7" borderId="2" xfId="0" applyFont="1" applyFill="1" applyBorder="1" applyAlignment="1"/>
    <xf numFmtId="0" fontId="90" fillId="7" borderId="2" xfId="0" applyFont="1" applyFill="1" applyBorder="1" applyAlignment="1"/>
    <xf numFmtId="0" fontId="90" fillId="7" borderId="3" xfId="0" applyFont="1" applyFill="1" applyBorder="1" applyAlignment="1"/>
    <xf numFmtId="0" fontId="0" fillId="7" borderId="41" xfId="0" applyFont="1" applyFill="1" applyBorder="1"/>
    <xf numFmtId="0" fontId="0" fillId="7" borderId="23" xfId="0" applyFont="1" applyFill="1" applyBorder="1"/>
    <xf numFmtId="0" fontId="0" fillId="7" borderId="11" xfId="0" applyFont="1" applyFill="1" applyBorder="1"/>
    <xf numFmtId="4" fontId="0" fillId="7" borderId="25" xfId="0" applyNumberFormat="1" applyFont="1" applyFill="1" applyBorder="1" applyAlignment="1">
      <alignment horizontal="center"/>
    </xf>
    <xf numFmtId="0" fontId="0" fillId="7" borderId="28" xfId="0" applyFont="1" applyFill="1" applyBorder="1"/>
    <xf numFmtId="165" fontId="17" fillId="7" borderId="34" xfId="0" applyNumberFormat="1" applyFont="1" applyFill="1" applyBorder="1"/>
    <xf numFmtId="165" fontId="17" fillId="7" borderId="41" xfId="0" applyNumberFormat="1" applyFont="1" applyFill="1" applyBorder="1"/>
    <xf numFmtId="165" fontId="16" fillId="7" borderId="26" xfId="0" applyNumberFormat="1" applyFont="1" applyFill="1" applyBorder="1"/>
    <xf numFmtId="165" fontId="16" fillId="7" borderId="25" xfId="0" applyNumberFormat="1" applyFont="1" applyFill="1" applyBorder="1"/>
    <xf numFmtId="165" fontId="16" fillId="7" borderId="28" xfId="0" applyNumberFormat="1" applyFont="1" applyFill="1" applyBorder="1"/>
    <xf numFmtId="4" fontId="0" fillId="7" borderId="8" xfId="0" applyNumberFormat="1" applyFont="1" applyFill="1" applyBorder="1" applyAlignment="1">
      <alignment horizontal="center"/>
    </xf>
    <xf numFmtId="4" fontId="0" fillId="7" borderId="6" xfId="0" applyNumberFormat="1" applyFont="1" applyFill="1" applyBorder="1" applyAlignment="1">
      <alignment horizontal="center"/>
    </xf>
    <xf numFmtId="4" fontId="0" fillId="7" borderId="15" xfId="0" applyNumberFormat="1" applyFont="1" applyFill="1" applyBorder="1" applyAlignment="1">
      <alignment horizontal="center"/>
    </xf>
    <xf numFmtId="165" fontId="16" fillId="7" borderId="31" xfId="0" applyNumberFormat="1" applyFont="1" applyFill="1" applyBorder="1"/>
    <xf numFmtId="165" fontId="16" fillId="7" borderId="60" xfId="0" applyNumberFormat="1" applyFont="1" applyFill="1" applyBorder="1"/>
    <xf numFmtId="0" fontId="0" fillId="7" borderId="4" xfId="0" applyFont="1" applyFill="1" applyBorder="1"/>
    <xf numFmtId="0" fontId="49" fillId="7" borderId="0" xfId="0" applyFont="1" applyFill="1" applyBorder="1" applyAlignment="1"/>
    <xf numFmtId="0" fontId="136" fillId="7" borderId="5" xfId="0" applyFont="1" applyFill="1" applyBorder="1" applyAlignment="1"/>
    <xf numFmtId="0" fontId="49" fillId="7" borderId="5" xfId="0" applyFont="1" applyFill="1" applyBorder="1" applyAlignment="1"/>
    <xf numFmtId="0" fontId="46" fillId="7" borderId="27" xfId="0" applyFont="1" applyFill="1" applyBorder="1" applyAlignment="1">
      <alignment horizontal="left"/>
    </xf>
    <xf numFmtId="0" fontId="0" fillId="7" borderId="45" xfId="0" applyFont="1" applyFill="1" applyBorder="1"/>
    <xf numFmtId="0" fontId="0" fillId="7" borderId="44" xfId="0" applyFont="1" applyFill="1" applyBorder="1"/>
    <xf numFmtId="165" fontId="16" fillId="7" borderId="74" xfId="0" applyNumberFormat="1" applyFont="1" applyFill="1" applyBorder="1"/>
    <xf numFmtId="0" fontId="0" fillId="7" borderId="75" xfId="0" applyFont="1" applyFill="1" applyBorder="1"/>
    <xf numFmtId="4" fontId="0" fillId="7" borderId="73" xfId="0" applyNumberFormat="1" applyFont="1" applyFill="1" applyBorder="1" applyAlignment="1">
      <alignment horizontal="center"/>
    </xf>
    <xf numFmtId="0" fontId="0" fillId="7" borderId="73" xfId="0" applyFont="1" applyFill="1" applyBorder="1"/>
    <xf numFmtId="0" fontId="93" fillId="7" borderId="12" xfId="0" applyFont="1" applyFill="1" applyBorder="1"/>
    <xf numFmtId="0" fontId="93" fillId="7" borderId="13" xfId="0" applyFont="1" applyFill="1" applyBorder="1"/>
    <xf numFmtId="0" fontId="93" fillId="7" borderId="14" xfId="0" applyFont="1" applyFill="1" applyBorder="1"/>
    <xf numFmtId="0" fontId="85" fillId="7" borderId="4" xfId="0" applyFont="1" applyFill="1" applyBorder="1"/>
    <xf numFmtId="0" fontId="10" fillId="7" borderId="6" xfId="0" applyFont="1" applyFill="1" applyBorder="1"/>
    <xf numFmtId="0" fontId="10" fillId="7" borderId="7" xfId="0" applyFont="1" applyFill="1" applyBorder="1"/>
    <xf numFmtId="0" fontId="17" fillId="7" borderId="15" xfId="0" applyFont="1" applyFill="1" applyBorder="1"/>
    <xf numFmtId="0" fontId="18" fillId="7" borderId="12" xfId="0" applyFont="1" applyFill="1" applyBorder="1"/>
    <xf numFmtId="0" fontId="18" fillId="7" borderId="13" xfId="0" applyFont="1" applyFill="1" applyBorder="1"/>
    <xf numFmtId="0" fontId="18" fillId="7" borderId="14" xfId="0" applyFont="1" applyFill="1" applyBorder="1"/>
    <xf numFmtId="0" fontId="17" fillId="7" borderId="9" xfId="0" applyFont="1" applyFill="1" applyBorder="1"/>
    <xf numFmtId="0" fontId="18" fillId="23" borderId="0" xfId="0" applyFont="1" applyFill="1" applyAlignment="1">
      <alignment horizontal="left" wrapText="1"/>
    </xf>
    <xf numFmtId="0" fontId="1" fillId="7" borderId="13" xfId="0" applyFont="1" applyFill="1" applyBorder="1" applyAlignment="1">
      <alignment horizontal="center"/>
    </xf>
    <xf numFmtId="4" fontId="1" fillId="7" borderId="13" xfId="0" applyNumberFormat="1" applyFont="1" applyFill="1" applyBorder="1" applyAlignment="1">
      <alignment horizontal="center"/>
    </xf>
    <xf numFmtId="4" fontId="16" fillId="7" borderId="13" xfId="0" applyNumberFormat="1" applyFont="1" applyFill="1" applyBorder="1"/>
    <xf numFmtId="4" fontId="0" fillId="7" borderId="12" xfId="0" applyNumberFormat="1" applyFont="1" applyFill="1" applyBorder="1"/>
    <xf numFmtId="4" fontId="0" fillId="7" borderId="14" xfId="0" applyNumberFormat="1" applyFont="1" applyFill="1" applyBorder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0" fontId="0" fillId="7" borderId="6" xfId="0" applyFill="1" applyBorder="1"/>
    <xf numFmtId="0" fontId="16" fillId="7" borderId="15" xfId="0" applyFont="1" applyFill="1" applyBorder="1" applyAlignment="1">
      <alignment horizontal="right"/>
    </xf>
    <xf numFmtId="0" fontId="16" fillId="7" borderId="8" xfId="0" applyFont="1" applyFill="1" applyBorder="1" applyAlignment="1">
      <alignment horizontal="right"/>
    </xf>
    <xf numFmtId="0" fontId="1" fillId="7" borderId="13" xfId="0" applyFont="1" applyFill="1" applyBorder="1"/>
    <xf numFmtId="0" fontId="1" fillId="7" borderId="14" xfId="0" applyFont="1" applyFill="1" applyBorder="1" applyAlignment="1">
      <alignment horizontal="center"/>
    </xf>
    <xf numFmtId="4" fontId="16" fillId="7" borderId="0" xfId="0" applyNumberFormat="1" applyFont="1" applyFill="1" applyBorder="1" applyAlignment="1">
      <alignment horizontal="center"/>
    </xf>
    <xf numFmtId="4" fontId="1" fillId="7" borderId="0" xfId="0" applyNumberFormat="1" applyFont="1" applyFill="1" applyBorder="1" applyAlignment="1"/>
    <xf numFmtId="164" fontId="17" fillId="7" borderId="0" xfId="0" applyNumberFormat="1" applyFont="1" applyFill="1" applyBorder="1" applyAlignment="1">
      <alignment horizontal="center"/>
    </xf>
    <xf numFmtId="4" fontId="0" fillId="7" borderId="15" xfId="0" applyNumberFormat="1" applyFill="1" applyBorder="1"/>
    <xf numFmtId="4" fontId="0" fillId="7" borderId="8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/>
    <xf numFmtId="0" fontId="1" fillId="7" borderId="7" xfId="0" applyFont="1" applyFill="1" applyBorder="1"/>
    <xf numFmtId="4" fontId="1" fillId="7" borderId="7" xfId="0" applyNumberFormat="1" applyFont="1" applyFill="1" applyBorder="1"/>
    <xf numFmtId="0" fontId="0" fillId="7" borderId="18" xfId="0" applyFill="1" applyBorder="1"/>
    <xf numFmtId="0" fontId="0" fillId="7" borderId="32" xfId="0" applyFill="1" applyBorder="1"/>
    <xf numFmtId="4" fontId="1" fillId="7" borderId="13" xfId="0" applyNumberFormat="1" applyFont="1" applyFill="1" applyBorder="1"/>
    <xf numFmtId="4" fontId="0" fillId="7" borderId="9" xfId="0" applyNumberFormat="1" applyFill="1" applyBorder="1"/>
    <xf numFmtId="4" fontId="0" fillId="7" borderId="8" xfId="0" applyNumberFormat="1" applyFill="1" applyBorder="1"/>
    <xf numFmtId="0" fontId="17" fillId="7" borderId="14" xfId="0" applyFont="1" applyFill="1" applyBorder="1"/>
    <xf numFmtId="0" fontId="0" fillId="7" borderId="83" xfId="0" applyFont="1" applyFill="1" applyBorder="1"/>
    <xf numFmtId="0" fontId="0" fillId="7" borderId="6" xfId="0" applyFont="1" applyFill="1" applyBorder="1"/>
    <xf numFmtId="0" fontId="8" fillId="7" borderId="7" xfId="0" applyFont="1" applyFill="1" applyBorder="1"/>
    <xf numFmtId="0" fontId="8" fillId="7" borderId="84" xfId="0" applyFont="1" applyFill="1" applyBorder="1"/>
    <xf numFmtId="0" fontId="23" fillId="7" borderId="9" xfId="0" applyFont="1" applyFill="1" applyBorder="1"/>
    <xf numFmtId="4" fontId="1" fillId="7" borderId="0" xfId="0" applyNumberFormat="1" applyFont="1" applyFill="1"/>
    <xf numFmtId="0" fontId="0" fillId="49" borderId="39" xfId="0" applyFont="1" applyFill="1" applyBorder="1"/>
    <xf numFmtId="0" fontId="29" fillId="22" borderId="0" xfId="0" applyFont="1" applyFill="1"/>
    <xf numFmtId="0" fontId="30" fillId="22" borderId="0" xfId="0" applyFont="1" applyFill="1"/>
    <xf numFmtId="0" fontId="22" fillId="22" borderId="0" xfId="0" applyFont="1" applyFill="1"/>
    <xf numFmtId="0" fontId="13" fillId="22" borderId="0" xfId="0" applyFont="1" applyFill="1"/>
    <xf numFmtId="0" fontId="0" fillId="22" borderId="0" xfId="0" applyFill="1"/>
    <xf numFmtId="0" fontId="137" fillId="22" borderId="0" xfId="0" applyFont="1" applyFill="1"/>
    <xf numFmtId="0" fontId="44" fillId="7" borderId="0" xfId="0" applyFont="1" applyFill="1"/>
    <xf numFmtId="0" fontId="51" fillId="0" borderId="39" xfId="0" applyFont="1" applyBorder="1"/>
    <xf numFmtId="0" fontId="17" fillId="0" borderId="2" xfId="0" applyFont="1" applyFill="1" applyBorder="1"/>
    <xf numFmtId="0" fontId="8" fillId="49" borderId="0" xfId="0" applyFont="1" applyFill="1"/>
    <xf numFmtId="0" fontId="44" fillId="0" borderId="0" xfId="0" applyFont="1" applyFill="1"/>
    <xf numFmtId="0" fontId="10" fillId="0" borderId="0" xfId="0" applyFont="1" applyFill="1"/>
    <xf numFmtId="4" fontId="25" fillId="0" borderId="0" xfId="0" applyNumberFormat="1" applyFont="1" applyFill="1"/>
    <xf numFmtId="0" fontId="40" fillId="0" borderId="2" xfId="0" applyFont="1" applyFill="1" applyBorder="1"/>
    <xf numFmtId="0" fontId="138" fillId="22" borderId="0" xfId="0" applyFont="1" applyFill="1"/>
    <xf numFmtId="0" fontId="138" fillId="0" borderId="0" xfId="0" applyFont="1"/>
    <xf numFmtId="0" fontId="138" fillId="0" borderId="0" xfId="0" applyFont="1" applyFill="1"/>
    <xf numFmtId="3" fontId="139" fillId="3" borderId="9" xfId="0" applyNumberFormat="1" applyFont="1" applyFill="1" applyBorder="1" applyAlignment="1">
      <alignment horizontal="right"/>
    </xf>
    <xf numFmtId="0" fontId="139" fillId="0" borderId="6" xfId="0" applyFont="1" applyFill="1" applyBorder="1"/>
    <xf numFmtId="4" fontId="10" fillId="0" borderId="9" xfId="0" applyNumberFormat="1" applyFont="1" applyFill="1" applyBorder="1" applyAlignment="1">
      <alignment horizontal="center"/>
    </xf>
    <xf numFmtId="4" fontId="18" fillId="0" borderId="9" xfId="0" applyNumberFormat="1" applyFont="1" applyFill="1" applyBorder="1" applyAlignment="1">
      <alignment horizontal="center"/>
    </xf>
    <xf numFmtId="4" fontId="18" fillId="0" borderId="9" xfId="0" applyNumberFormat="1" applyFont="1" applyFill="1" applyBorder="1"/>
    <xf numFmtId="4" fontId="10" fillId="0" borderId="10" xfId="0" applyNumberFormat="1" applyFont="1" applyFill="1" applyBorder="1" applyAlignment="1">
      <alignment horizontal="right"/>
    </xf>
    <xf numFmtId="4" fontId="10" fillId="0" borderId="21" xfId="0" applyNumberFormat="1" applyFont="1" applyFill="1" applyBorder="1"/>
    <xf numFmtId="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4" fontId="2" fillId="0" borderId="18" xfId="0" applyNumberFormat="1" applyFont="1" applyFill="1" applyBorder="1"/>
    <xf numFmtId="4" fontId="2" fillId="0" borderId="18" xfId="0" applyNumberFormat="1" applyFont="1" applyFill="1" applyBorder="1" applyAlignment="1"/>
    <xf numFmtId="4" fontId="16" fillId="0" borderId="26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4" fontId="39" fillId="0" borderId="23" xfId="0" applyNumberFormat="1" applyFont="1" applyFill="1" applyBorder="1" applyAlignment="1">
      <alignment horizontal="right"/>
    </xf>
    <xf numFmtId="4" fontId="0" fillId="0" borderId="72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" fontId="39" fillId="0" borderId="23" xfId="0" applyNumberFormat="1" applyFont="1" applyFill="1" applyBorder="1" applyAlignment="1"/>
    <xf numFmtId="4" fontId="51" fillId="0" borderId="23" xfId="0" applyNumberFormat="1" applyFont="1" applyFill="1" applyBorder="1" applyAlignment="1"/>
    <xf numFmtId="0" fontId="16" fillId="0" borderId="12" xfId="0" applyFont="1" applyFill="1" applyBorder="1"/>
    <xf numFmtId="0" fontId="0" fillId="17" borderId="0" xfId="0" applyFill="1" applyBorder="1" applyAlignment="1">
      <alignment horizontal="left"/>
    </xf>
    <xf numFmtId="9" fontId="38" fillId="0" borderId="0" xfId="0" applyNumberFormat="1" applyFont="1" applyFill="1" applyBorder="1"/>
    <xf numFmtId="4" fontId="16" fillId="0" borderId="18" xfId="0" applyNumberFormat="1" applyFont="1" applyFill="1" applyBorder="1" applyAlignment="1"/>
    <xf numFmtId="0" fontId="16" fillId="0" borderId="6" xfId="0" applyFont="1" applyFill="1" applyBorder="1"/>
    <xf numFmtId="0" fontId="13" fillId="0" borderId="13" xfId="0" applyFont="1" applyFill="1" applyBorder="1"/>
    <xf numFmtId="4" fontId="50" fillId="9" borderId="27" xfId="0" applyNumberFormat="1" applyFont="1" applyFill="1" applyBorder="1" applyAlignment="1">
      <alignment horizontal="center"/>
    </xf>
    <xf numFmtId="0" fontId="21" fillId="9" borderId="27" xfId="0" applyFont="1" applyFill="1" applyBorder="1"/>
    <xf numFmtId="4" fontId="50" fillId="0" borderId="0" xfId="0" applyNumberFormat="1" applyFont="1" applyFill="1" applyBorder="1" applyAlignment="1">
      <alignment horizontal="center"/>
    </xf>
    <xf numFmtId="4" fontId="141" fillId="0" borderId="39" xfId="0" applyNumberFormat="1" applyFont="1" applyFill="1" applyBorder="1" applyAlignment="1">
      <alignment horizontal="right"/>
    </xf>
    <xf numFmtId="4" fontId="42" fillId="0" borderId="34" xfId="0" applyNumberFormat="1" applyFont="1" applyFill="1" applyBorder="1" applyAlignment="1">
      <alignment horizontal="center"/>
    </xf>
    <xf numFmtId="164" fontId="42" fillId="0" borderId="23" xfId="0" applyNumberFormat="1" applyFont="1" applyFill="1" applyBorder="1" applyAlignment="1">
      <alignment horizontal="center"/>
    </xf>
    <xf numFmtId="4" fontId="21" fillId="0" borderId="34" xfId="0" applyNumberFormat="1" applyFont="1" applyFill="1" applyBorder="1" applyAlignment="1">
      <alignment horizontal="center"/>
    </xf>
    <xf numFmtId="4" fontId="21" fillId="0" borderId="18" xfId="0" applyNumberFormat="1" applyFont="1" applyFill="1" applyBorder="1" applyAlignment="1">
      <alignment horizontal="center"/>
    </xf>
    <xf numFmtId="4" fontId="121" fillId="0" borderId="0" xfId="0" applyNumberFormat="1" applyFont="1" applyFill="1" applyBorder="1" applyAlignment="1">
      <alignment horizontal="center"/>
    </xf>
    <xf numFmtId="0" fontId="13" fillId="13" borderId="26" xfId="0" applyFont="1" applyFill="1" applyBorder="1"/>
    <xf numFmtId="0" fontId="13" fillId="13" borderId="27" xfId="0" applyFont="1" applyFill="1" applyBorder="1"/>
    <xf numFmtId="0" fontId="0" fillId="0" borderId="13" xfId="0" applyFont="1" applyFill="1" applyBorder="1"/>
    <xf numFmtId="0" fontId="17" fillId="0" borderId="12" xfId="0" applyFont="1" applyFill="1" applyBorder="1"/>
    <xf numFmtId="0" fontId="8" fillId="0" borderId="13" xfId="0" applyFont="1" applyFill="1" applyBorder="1"/>
    <xf numFmtId="0" fontId="0" fillId="0" borderId="13" xfId="0" applyFont="1" applyFill="1" applyBorder="1" applyAlignment="1">
      <alignment horizontal="center"/>
    </xf>
    <xf numFmtId="14" fontId="16" fillId="0" borderId="6" xfId="0" applyNumberFormat="1" applyFont="1" applyFill="1" applyBorder="1"/>
    <xf numFmtId="0" fontId="23" fillId="7" borderId="0" xfId="0" applyFont="1" applyFill="1" applyBorder="1"/>
    <xf numFmtId="0" fontId="0" fillId="0" borderId="0" xfId="0" applyAlignment="1"/>
    <xf numFmtId="4" fontId="36" fillId="0" borderId="0" xfId="0" applyNumberFormat="1" applyFont="1" applyFill="1" applyBorder="1" applyAlignment="1">
      <alignment horizontal="right"/>
    </xf>
    <xf numFmtId="0" fontId="51" fillId="7" borderId="4" xfId="0" applyFont="1" applyFill="1" applyBorder="1"/>
    <xf numFmtId="0" fontId="39" fillId="7" borderId="0" xfId="0" applyFont="1" applyFill="1" applyBorder="1"/>
    <xf numFmtId="0" fontId="48" fillId="7" borderId="43" xfId="0" applyFont="1" applyFill="1" applyBorder="1"/>
    <xf numFmtId="4" fontId="16" fillId="7" borderId="43" xfId="0" applyNumberFormat="1" applyFont="1" applyFill="1" applyBorder="1"/>
    <xf numFmtId="4" fontId="16" fillId="7" borderId="18" xfId="0" applyNumberFormat="1" applyFont="1" applyFill="1" applyBorder="1"/>
    <xf numFmtId="0" fontId="49" fillId="7" borderId="74" xfId="0" applyFont="1" applyFill="1" applyBorder="1" applyAlignment="1"/>
    <xf numFmtId="165" fontId="0" fillId="0" borderId="23" xfId="0" applyNumberFormat="1" applyFont="1" applyFill="1" applyBorder="1"/>
    <xf numFmtId="165" fontId="0" fillId="0" borderId="18" xfId="0" applyNumberFormat="1" applyFont="1" applyFill="1" applyBorder="1"/>
    <xf numFmtId="165" fontId="13" fillId="0" borderId="43" xfId="0" applyNumberFormat="1" applyFont="1" applyFill="1" applyBorder="1"/>
    <xf numFmtId="165" fontId="13" fillId="7" borderId="23" xfId="0" applyNumberFormat="1" applyFont="1" applyFill="1" applyBorder="1"/>
    <xf numFmtId="165" fontId="13" fillId="7" borderId="26" xfId="0" applyNumberFormat="1" applyFont="1" applyFill="1" applyBorder="1"/>
    <xf numFmtId="165" fontId="10" fillId="0" borderId="9" xfId="0" applyNumberFormat="1" applyFont="1" applyFill="1" applyBorder="1"/>
    <xf numFmtId="165" fontId="10" fillId="0" borderId="14" xfId="0" applyNumberFormat="1" applyFont="1" applyFill="1" applyBorder="1"/>
    <xf numFmtId="165" fontId="10" fillId="0" borderId="10" xfId="0" applyNumberFormat="1" applyFont="1" applyFill="1" applyBorder="1"/>
    <xf numFmtId="165" fontId="10" fillId="0" borderId="0" xfId="0" applyNumberFormat="1" applyFont="1" applyFill="1" applyBorder="1"/>
    <xf numFmtId="165" fontId="10" fillId="0" borderId="3" xfId="0" applyNumberFormat="1" applyFont="1" applyFill="1" applyBorder="1"/>
    <xf numFmtId="165" fontId="16" fillId="0" borderId="20" xfId="0" applyNumberFormat="1" applyFont="1" applyFill="1" applyBorder="1"/>
    <xf numFmtId="165" fontId="16" fillId="0" borderId="39" xfId="0" applyNumberFormat="1" applyFont="1" applyFill="1" applyBorder="1"/>
    <xf numFmtId="165" fontId="16" fillId="0" borderId="23" xfId="0" applyNumberFormat="1" applyFont="1" applyFill="1" applyBorder="1"/>
    <xf numFmtId="165" fontId="16" fillId="0" borderId="27" xfId="0" applyNumberFormat="1" applyFont="1" applyFill="1" applyBorder="1"/>
    <xf numFmtId="165" fontId="17" fillId="0" borderId="9" xfId="0" applyNumberFormat="1" applyFont="1" applyFill="1" applyBorder="1"/>
    <xf numFmtId="165" fontId="17" fillId="0" borderId="14" xfId="0" applyNumberFormat="1" applyFont="1" applyFill="1" applyBorder="1"/>
    <xf numFmtId="165" fontId="16" fillId="0" borderId="10" xfId="0" applyNumberFormat="1" applyFont="1" applyFill="1" applyBorder="1"/>
    <xf numFmtId="165" fontId="16" fillId="0" borderId="3" xfId="0" applyNumberFormat="1" applyFont="1" applyFill="1" applyBorder="1"/>
    <xf numFmtId="165" fontId="16" fillId="0" borderId="18" xfId="0" applyNumberFormat="1" applyFont="1" applyFill="1" applyBorder="1"/>
    <xf numFmtId="165" fontId="16" fillId="0" borderId="43" xfId="0" applyNumberFormat="1" applyFont="1" applyFill="1" applyBorder="1"/>
    <xf numFmtId="165" fontId="16" fillId="0" borderId="29" xfId="0" applyNumberFormat="1" applyFont="1" applyFill="1" applyBorder="1"/>
    <xf numFmtId="165" fontId="16" fillId="0" borderId="32" xfId="0" applyNumberFormat="1" applyFont="1" applyFill="1" applyBorder="1"/>
    <xf numFmtId="165" fontId="16" fillId="0" borderId="51" xfId="0" applyNumberFormat="1" applyFont="1" applyFill="1" applyBorder="1"/>
    <xf numFmtId="165" fontId="16" fillId="0" borderId="48" xfId="0" applyNumberFormat="1" applyFont="1" applyFill="1" applyBorder="1"/>
    <xf numFmtId="165" fontId="16" fillId="0" borderId="79" xfId="0" applyNumberFormat="1" applyFont="1" applyFill="1" applyBorder="1"/>
    <xf numFmtId="165" fontId="16" fillId="0" borderId="58" xfId="0" applyNumberFormat="1" applyFont="1" applyFill="1" applyBorder="1"/>
    <xf numFmtId="165" fontId="16" fillId="0" borderId="25" xfId="0" applyNumberFormat="1" applyFont="1" applyFill="1" applyBorder="1"/>
    <xf numFmtId="165" fontId="16" fillId="0" borderId="28" xfId="0" applyNumberFormat="1" applyFont="1" applyFill="1" applyBorder="1"/>
    <xf numFmtId="165" fontId="17" fillId="0" borderId="12" xfId="0" applyNumberFormat="1" applyFont="1" applyFill="1" applyBorder="1"/>
    <xf numFmtId="165" fontId="16" fillId="0" borderId="35" xfId="0" applyNumberFormat="1" applyFont="1" applyFill="1" applyBorder="1"/>
    <xf numFmtId="165" fontId="16" fillId="0" borderId="34" xfId="0" applyNumberFormat="1" applyFont="1" applyFill="1" applyBorder="1"/>
    <xf numFmtId="4" fontId="10" fillId="0" borderId="34" xfId="0" applyNumberFormat="1" applyFont="1" applyFill="1" applyBorder="1"/>
    <xf numFmtId="4" fontId="10" fillId="0" borderId="41" xfId="0" applyNumberFormat="1" applyFont="1" applyFill="1" applyBorder="1"/>
    <xf numFmtId="165" fontId="0" fillId="0" borderId="26" xfId="0" applyNumberFormat="1" applyFont="1" applyFill="1" applyBorder="1"/>
    <xf numFmtId="165" fontId="10" fillId="0" borderId="11" xfId="0" applyNumberFormat="1" applyFont="1" applyFill="1" applyBorder="1"/>
    <xf numFmtId="165" fontId="10" fillId="0" borderId="5" xfId="0" applyNumberFormat="1" applyFont="1" applyFill="1" applyBorder="1"/>
    <xf numFmtId="165" fontId="16" fillId="0" borderId="21" xfId="0" applyNumberFormat="1" applyFont="1" applyFill="1" applyBorder="1"/>
    <xf numFmtId="0" fontId="17" fillId="7" borderId="4" xfId="0" applyFont="1" applyFill="1" applyBorder="1"/>
    <xf numFmtId="4" fontId="16" fillId="0" borderId="0" xfId="0" applyNumberFormat="1" applyFont="1" applyFill="1"/>
    <xf numFmtId="3" fontId="0" fillId="0" borderId="0" xfId="0" applyNumberFormat="1" applyFont="1" applyFill="1"/>
    <xf numFmtId="3" fontId="16" fillId="0" borderId="0" xfId="0" applyNumberFormat="1" applyFont="1" applyFill="1"/>
    <xf numFmtId="0" fontId="51" fillId="0" borderId="1" xfId="0" applyFont="1" applyFill="1" applyBorder="1"/>
    <xf numFmtId="0" fontId="39" fillId="0" borderId="2" xfId="0" applyFont="1" applyFill="1" applyBorder="1"/>
    <xf numFmtId="4" fontId="0" fillId="0" borderId="26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0" fontId="51" fillId="0" borderId="4" xfId="0" applyFont="1" applyFill="1" applyBorder="1"/>
    <xf numFmtId="0" fontId="0" fillId="0" borderId="5" xfId="0" applyFont="1" applyFill="1" applyBorder="1"/>
    <xf numFmtId="4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/>
    <xf numFmtId="0" fontId="0" fillId="0" borderId="27" xfId="0" applyFont="1" applyFill="1" applyBorder="1" applyAlignment="1"/>
    <xf numFmtId="0" fontId="0" fillId="0" borderId="26" xfId="0" applyFont="1" applyFill="1" applyBorder="1" applyAlignment="1"/>
    <xf numFmtId="0" fontId="0" fillId="0" borderId="27" xfId="0" applyFont="1" applyFill="1" applyBorder="1"/>
    <xf numFmtId="0" fontId="0" fillId="0" borderId="26" xfId="0" applyFont="1" applyFill="1" applyBorder="1"/>
    <xf numFmtId="165" fontId="17" fillId="0" borderId="11" xfId="0" applyNumberFormat="1" applyFont="1" applyFill="1" applyBorder="1"/>
    <xf numFmtId="165" fontId="17" fillId="0" borderId="5" xfId="0" applyNumberFormat="1" applyFont="1" applyFill="1" applyBorder="1"/>
    <xf numFmtId="165" fontId="17" fillId="0" borderId="25" xfId="0" applyNumberFormat="1" applyFont="1" applyFill="1" applyBorder="1"/>
    <xf numFmtId="165" fontId="16" fillId="0" borderId="26" xfId="0" applyNumberFormat="1" applyFont="1" applyFill="1" applyBorder="1"/>
    <xf numFmtId="3" fontId="16" fillId="0" borderId="0" xfId="0" applyNumberFormat="1" applyFont="1" applyFill="1" applyAlignment="1">
      <alignment horizontal="right"/>
    </xf>
    <xf numFmtId="165" fontId="16" fillId="0" borderId="73" xfId="0" applyNumberFormat="1" applyFont="1" applyFill="1" applyBorder="1"/>
    <xf numFmtId="4" fontId="16" fillId="0" borderId="18" xfId="0" applyNumberFormat="1" applyFont="1" applyFill="1" applyBorder="1"/>
    <xf numFmtId="4" fontId="16" fillId="0" borderId="43" xfId="0" applyNumberFormat="1" applyFont="1" applyFill="1" applyBorder="1"/>
    <xf numFmtId="165" fontId="16" fillId="0" borderId="24" xfId="0" applyNumberFormat="1" applyFont="1" applyFill="1" applyBorder="1"/>
    <xf numFmtId="165" fontId="16" fillId="0" borderId="4" xfId="0" applyNumberFormat="1" applyFont="1" applyFill="1" applyBorder="1"/>
    <xf numFmtId="165" fontId="16" fillId="0" borderId="15" xfId="0" applyNumberFormat="1" applyFont="1" applyFill="1" applyBorder="1"/>
    <xf numFmtId="165" fontId="17" fillId="0" borderId="57" xfId="0" applyNumberFormat="1" applyFont="1" applyFill="1" applyBorder="1"/>
    <xf numFmtId="165" fontId="17" fillId="0" borderId="58" xfId="0" applyNumberFormat="1" applyFont="1" applyFill="1" applyBorder="1"/>
    <xf numFmtId="165" fontId="16" fillId="0" borderId="42" xfId="0" applyNumberFormat="1" applyFont="1" applyFill="1" applyBorder="1"/>
    <xf numFmtId="165" fontId="16" fillId="0" borderId="59" xfId="0" applyNumberFormat="1" applyFont="1" applyFill="1" applyBorder="1"/>
    <xf numFmtId="165" fontId="16" fillId="0" borderId="60" xfId="0" applyNumberFormat="1" applyFont="1" applyFill="1" applyBorder="1"/>
    <xf numFmtId="165" fontId="16" fillId="0" borderId="50" xfId="0" applyNumberFormat="1" applyFont="1" applyFill="1" applyBorder="1"/>
    <xf numFmtId="165" fontId="16" fillId="0" borderId="61" xfId="0" applyNumberFormat="1" applyFont="1" applyFill="1" applyBorder="1"/>
    <xf numFmtId="165" fontId="16" fillId="0" borderId="9" xfId="0" applyNumberFormat="1" applyFont="1" applyFill="1" applyBorder="1"/>
    <xf numFmtId="4" fontId="19" fillId="0" borderId="9" xfId="0" applyNumberFormat="1" applyFont="1" applyFill="1" applyBorder="1"/>
    <xf numFmtId="0" fontId="39" fillId="0" borderId="0" xfId="0" applyFont="1" applyFill="1"/>
    <xf numFmtId="4" fontId="0" fillId="0" borderId="1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51" fillId="0" borderId="23" xfId="0" applyNumberFormat="1" applyFont="1" applyFill="1" applyBorder="1" applyAlignment="1">
      <alignment horizontal="center"/>
    </xf>
    <xf numFmtId="0" fontId="77" fillId="0" borderId="10" xfId="0" applyFont="1" applyFill="1" applyBorder="1"/>
    <xf numFmtId="4" fontId="16" fillId="0" borderId="10" xfId="0" applyNumberFormat="1" applyFont="1" applyFill="1" applyBorder="1" applyAlignment="1">
      <alignment horizontal="center"/>
    </xf>
    <xf numFmtId="4" fontId="19" fillId="0" borderId="15" xfId="0" applyNumberFormat="1" applyFont="1" applyBorder="1"/>
    <xf numFmtId="4" fontId="140" fillId="0" borderId="23" xfId="0" applyNumberFormat="1" applyFont="1" applyFill="1" applyBorder="1" applyAlignment="1"/>
    <xf numFmtId="4" fontId="140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0" fillId="4" borderId="0" xfId="0" applyFont="1" applyFill="1" applyBorder="1"/>
    <xf numFmtId="0" fontId="16" fillId="0" borderId="0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4" fontId="16" fillId="0" borderId="4" xfId="0" applyNumberFormat="1" applyFont="1" applyFill="1" applyBorder="1"/>
    <xf numFmtId="0" fontId="17" fillId="0" borderId="0" xfId="0" applyFont="1" applyFill="1" applyBorder="1" applyAlignment="1">
      <alignment horizontal="right"/>
    </xf>
    <xf numFmtId="4" fontId="18" fillId="0" borderId="23" xfId="0" applyNumberFormat="1" applyFont="1" applyFill="1" applyBorder="1" applyAlignment="1"/>
    <xf numFmtId="4" fontId="18" fillId="0" borderId="23" xfId="0" applyNumberFormat="1" applyFont="1" applyFill="1" applyBorder="1" applyAlignment="1">
      <alignment horizontal="right"/>
    </xf>
    <xf numFmtId="4" fontId="51" fillId="0" borderId="23" xfId="0" applyNumberFormat="1" applyFont="1" applyFill="1" applyBorder="1" applyAlignment="1">
      <alignment horizontal="right"/>
    </xf>
    <xf numFmtId="4" fontId="93" fillId="0" borderId="23" xfId="0" applyNumberFormat="1" applyFont="1" applyFill="1" applyBorder="1" applyAlignment="1">
      <alignment horizontal="right"/>
    </xf>
    <xf numFmtId="4" fontId="93" fillId="0" borderId="18" xfId="0" applyNumberFormat="1" applyFont="1" applyFill="1" applyBorder="1" applyAlignment="1"/>
    <xf numFmtId="4" fontId="39" fillId="0" borderId="18" xfId="0" applyNumberFormat="1" applyFont="1" applyFill="1" applyBorder="1" applyAlignment="1"/>
    <xf numFmtId="0" fontId="21" fillId="0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2" fontId="0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center"/>
    </xf>
    <xf numFmtId="4" fontId="123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2" fontId="0" fillId="0" borderId="16" xfId="0" applyNumberFormat="1" applyFont="1" applyFill="1" applyBorder="1"/>
    <xf numFmtId="164" fontId="40" fillId="0" borderId="16" xfId="0" applyNumberFormat="1" applyFont="1" applyFill="1" applyBorder="1" applyAlignment="1">
      <alignment horizontal="center"/>
    </xf>
    <xf numFmtId="4" fontId="121" fillId="0" borderId="16" xfId="0" applyNumberFormat="1" applyFont="1" applyFill="1" applyBorder="1" applyAlignment="1">
      <alignment horizontal="right"/>
    </xf>
    <xf numFmtId="4" fontId="123" fillId="0" borderId="16" xfId="0" applyNumberFormat="1" applyFont="1" applyFill="1" applyBorder="1" applyAlignment="1">
      <alignment horizontal="right"/>
    </xf>
    <xf numFmtId="4" fontId="40" fillId="0" borderId="16" xfId="0" applyNumberFormat="1" applyFont="1" applyFill="1" applyBorder="1" applyAlignment="1">
      <alignment horizontal="right"/>
    </xf>
    <xf numFmtId="164" fontId="17" fillId="0" borderId="23" xfId="0" applyNumberFormat="1" applyFont="1" applyFill="1" applyBorder="1"/>
    <xf numFmtId="164" fontId="0" fillId="0" borderId="18" xfId="0" applyNumberFormat="1" applyFont="1" applyFill="1" applyBorder="1" applyAlignment="1">
      <alignment horizontal="center"/>
    </xf>
    <xf numFmtId="4" fontId="144" fillId="0" borderId="23" xfId="0" applyNumberFormat="1" applyFont="1" applyFill="1" applyBorder="1" applyAlignment="1"/>
    <xf numFmtId="4" fontId="144" fillId="0" borderId="23" xfId="0" applyNumberFormat="1" applyFont="1" applyFill="1" applyBorder="1" applyAlignment="1">
      <alignment horizontal="right"/>
    </xf>
    <xf numFmtId="0" fontId="0" fillId="0" borderId="39" xfId="0" applyFont="1" applyFill="1" applyBorder="1" applyAlignment="1"/>
    <xf numFmtId="0" fontId="16" fillId="0" borderId="39" xfId="0" applyFont="1" applyFill="1" applyBorder="1" applyAlignment="1"/>
    <xf numFmtId="0" fontId="0" fillId="0" borderId="41" xfId="0" applyFont="1" applyFill="1" applyBorder="1" applyAlignment="1"/>
    <xf numFmtId="4" fontId="0" fillId="0" borderId="29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17" xfId="0" applyFont="1" applyFill="1" applyBorder="1"/>
    <xf numFmtId="0" fontId="68" fillId="0" borderId="0" xfId="0" applyFont="1" applyFill="1" applyBorder="1" applyAlignment="1">
      <alignment horizontal="right"/>
    </xf>
    <xf numFmtId="4" fontId="51" fillId="0" borderId="23" xfId="0" applyNumberFormat="1" applyFont="1" applyFill="1" applyBorder="1"/>
    <xf numFmtId="0" fontId="0" fillId="0" borderId="35" xfId="0" applyFont="1" applyFill="1" applyBorder="1"/>
    <xf numFmtId="0" fontId="0" fillId="0" borderId="39" xfId="0" applyFont="1" applyFill="1" applyBorder="1"/>
    <xf numFmtId="4" fontId="0" fillId="0" borderId="28" xfId="0" applyNumberFormat="1" applyFont="1" applyFill="1" applyBorder="1" applyAlignment="1"/>
    <xf numFmtId="0" fontId="43" fillId="0" borderId="4" xfId="0" applyFont="1" applyFill="1" applyBorder="1"/>
    <xf numFmtId="4" fontId="0" fillId="0" borderId="41" xfId="0" applyNumberFormat="1" applyFont="1" applyFill="1" applyBorder="1" applyAlignment="1"/>
    <xf numFmtId="4" fontId="51" fillId="0" borderId="24" xfId="0" applyNumberFormat="1" applyFont="1" applyFill="1" applyBorder="1"/>
    <xf numFmtId="4" fontId="143" fillId="0" borderId="25" xfId="0" applyNumberFormat="1" applyFont="1" applyFill="1" applyBorder="1" applyAlignment="1">
      <alignment horizontal="right"/>
    </xf>
    <xf numFmtId="4" fontId="143" fillId="0" borderId="41" xfId="0" applyNumberFormat="1" applyFont="1" applyFill="1" applyBorder="1" applyAlignment="1"/>
    <xf numFmtId="0" fontId="77" fillId="0" borderId="7" xfId="0" applyFont="1" applyFill="1" applyBorder="1"/>
    <xf numFmtId="4" fontId="0" fillId="0" borderId="11" xfId="0" applyNumberFormat="1" applyFont="1" applyFill="1" applyBorder="1" applyAlignment="1"/>
    <xf numFmtId="164" fontId="0" fillId="0" borderId="34" xfId="0" applyNumberFormat="1" applyFont="1" applyFill="1" applyBorder="1" applyAlignment="1">
      <alignment horizontal="center"/>
    </xf>
    <xf numFmtId="4" fontId="0" fillId="12" borderId="34" xfId="0" applyNumberFormat="1" applyFont="1" applyFill="1" applyBorder="1" applyAlignment="1">
      <alignment horizontal="center"/>
    </xf>
    <xf numFmtId="9" fontId="0" fillId="0" borderId="7" xfId="0" applyNumberFormat="1" applyFont="1" applyFill="1" applyBorder="1"/>
    <xf numFmtId="4" fontId="16" fillId="0" borderId="29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/>
    </xf>
    <xf numFmtId="4" fontId="16" fillId="0" borderId="15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164" fontId="0" fillId="0" borderId="23" xfId="0" applyNumberFormat="1" applyFont="1" applyFill="1" applyBorder="1"/>
    <xf numFmtId="4" fontId="0" fillId="12" borderId="23" xfId="0" applyNumberFormat="1" applyFont="1" applyFill="1" applyBorder="1"/>
    <xf numFmtId="0" fontId="0" fillId="0" borderId="37" xfId="0" applyFont="1" applyFill="1" applyBorder="1"/>
    <xf numFmtId="4" fontId="0" fillId="12" borderId="23" xfId="0" applyNumberFormat="1" applyFont="1" applyFill="1" applyBorder="1" applyAlignment="1">
      <alignment horizontal="center"/>
    </xf>
    <xf numFmtId="4" fontId="0" fillId="12" borderId="18" xfId="0" applyNumberFormat="1" applyFont="1" applyFill="1" applyBorder="1" applyAlignment="1">
      <alignment horizontal="center"/>
    </xf>
    <xf numFmtId="4" fontId="0" fillId="16" borderId="25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4" fontId="0" fillId="12" borderId="25" xfId="0" applyNumberFormat="1" applyFont="1" applyFill="1" applyBorder="1" applyAlignment="1">
      <alignment horizontal="center"/>
    </xf>
    <xf numFmtId="4" fontId="0" fillId="12" borderId="29" xfId="0" applyNumberFormat="1" applyFont="1" applyFill="1" applyBorder="1" applyAlignment="1">
      <alignment horizontal="center"/>
    </xf>
    <xf numFmtId="4" fontId="0" fillId="4" borderId="23" xfId="0" applyNumberFormat="1" applyFont="1" applyFill="1" applyBorder="1" applyAlignment="1">
      <alignment horizontal="center"/>
    </xf>
    <xf numFmtId="4" fontId="0" fillId="15" borderId="23" xfId="0" applyNumberFormat="1" applyFont="1" applyFill="1" applyBorder="1" applyAlignment="1">
      <alignment horizontal="center"/>
    </xf>
    <xf numFmtId="4" fontId="0" fillId="15" borderId="23" xfId="0" applyNumberFormat="1" applyFont="1" applyFill="1" applyBorder="1" applyAlignment="1"/>
    <xf numFmtId="4" fontId="0" fillId="18" borderId="23" xfId="0" applyNumberFormat="1" applyFont="1" applyFill="1" applyBorder="1" applyAlignment="1">
      <alignment horizontal="center"/>
    </xf>
    <xf numFmtId="4" fontId="0" fillId="18" borderId="23" xfId="0" applyNumberFormat="1" applyFont="1" applyFill="1" applyBorder="1" applyAlignment="1"/>
    <xf numFmtId="4" fontId="0" fillId="18" borderId="18" xfId="0" applyNumberFormat="1" applyFont="1" applyFill="1" applyBorder="1" applyAlignment="1">
      <alignment horizontal="center"/>
    </xf>
    <xf numFmtId="4" fontId="0" fillId="18" borderId="18" xfId="0" applyNumberFormat="1" applyFont="1" applyFill="1" applyBorder="1" applyAlignment="1"/>
    <xf numFmtId="4" fontId="39" fillId="0" borderId="18" xfId="0" applyNumberFormat="1" applyFont="1" applyFill="1" applyBorder="1" applyAlignment="1">
      <alignment horizontal="right"/>
    </xf>
    <xf numFmtId="0" fontId="16" fillId="0" borderId="9" xfId="0" applyFont="1" applyFill="1" applyBorder="1"/>
    <xf numFmtId="3" fontId="16" fillId="0" borderId="9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/>
    <xf numFmtId="164" fontId="0" fillId="0" borderId="15" xfId="0" applyNumberFormat="1" applyFont="1" applyFill="1" applyBorder="1" applyAlignment="1">
      <alignment horizontal="center"/>
    </xf>
    <xf numFmtId="4" fontId="51" fillId="0" borderId="48" xfId="0" applyNumberFormat="1" applyFont="1" applyFill="1" applyBorder="1" applyAlignment="1"/>
    <xf numFmtId="4" fontId="51" fillId="0" borderId="49" xfId="0" applyNumberFormat="1" applyFont="1" applyFill="1" applyBorder="1" applyAlignment="1">
      <alignment horizontal="right"/>
    </xf>
    <xf numFmtId="4" fontId="16" fillId="0" borderId="50" xfId="0" applyNumberFormat="1" applyFont="1" applyFill="1" applyBorder="1" applyAlignment="1"/>
    <xf numFmtId="4" fontId="16" fillId="0" borderId="11" xfId="0" applyNumberFormat="1" applyFont="1" applyFill="1" applyBorder="1" applyAlignment="1"/>
    <xf numFmtId="4" fontId="16" fillId="0" borderId="9" xfId="0" applyNumberFormat="1" applyFont="1" applyFill="1" applyBorder="1"/>
    <xf numFmtId="0" fontId="78" fillId="0" borderId="12" xfId="0" applyFont="1" applyFill="1" applyBorder="1"/>
    <xf numFmtId="4" fontId="16" fillId="0" borderId="11" xfId="0" applyNumberFormat="1" applyFont="1" applyFill="1" applyBorder="1" applyAlignment="1">
      <alignment horizontal="center"/>
    </xf>
    <xf numFmtId="4" fontId="79" fillId="0" borderId="53" xfId="0" applyNumberFormat="1" applyFont="1" applyFill="1" applyBorder="1" applyAlignment="1">
      <alignment horizontal="center"/>
    </xf>
    <xf numFmtId="4" fontId="79" fillId="0" borderId="54" xfId="0" applyNumberFormat="1" applyFont="1" applyFill="1" applyBorder="1" applyAlignment="1">
      <alignment horizontal="center"/>
    </xf>
    <xf numFmtId="4" fontId="79" fillId="0" borderId="55" xfId="0" applyNumberFormat="1" applyFont="1" applyFill="1" applyBorder="1" applyAlignment="1">
      <alignment horizontal="center"/>
    </xf>
    <xf numFmtId="4" fontId="19" fillId="0" borderId="9" xfId="0" applyNumberFormat="1" applyFont="1" applyFill="1" applyBorder="1" applyAlignment="1">
      <alignment horizontal="center"/>
    </xf>
    <xf numFmtId="4" fontId="19" fillId="0" borderId="48" xfId="0" applyNumberFormat="1" applyFont="1" applyFill="1" applyBorder="1" applyAlignment="1">
      <alignment horizontal="center"/>
    </xf>
    <xf numFmtId="4" fontId="78" fillId="0" borderId="3" xfId="0" applyNumberFormat="1" applyFont="1" applyFill="1" applyBorder="1" applyAlignment="1">
      <alignment horizontal="right"/>
    </xf>
    <xf numFmtId="0" fontId="16" fillId="0" borderId="56" xfId="0" applyFont="1" applyFill="1" applyBorder="1"/>
    <xf numFmtId="4" fontId="78" fillId="0" borderId="33" xfId="0" applyNumberFormat="1" applyFont="1" applyFill="1" applyBorder="1" applyAlignment="1">
      <alignment horizontal="center"/>
    </xf>
    <xf numFmtId="4" fontId="43" fillId="0" borderId="3" xfId="0" applyNumberFormat="1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right"/>
    </xf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4" fontId="36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85" fillId="0" borderId="4" xfId="0" applyFont="1" applyBorder="1" applyAlignment="1"/>
    <xf numFmtId="0" fontId="90" fillId="0" borderId="0" xfId="0" applyFont="1" applyBorder="1" applyAlignment="1"/>
    <xf numFmtId="0" fontId="90" fillId="0" borderId="5" xfId="0" applyFont="1" applyBorder="1" applyAlignment="1"/>
    <xf numFmtId="0" fontId="85" fillId="4" borderId="4" xfId="0" applyFont="1" applyFill="1" applyBorder="1" applyAlignment="1"/>
    <xf numFmtId="0" fontId="49" fillId="0" borderId="0" xfId="0" applyFont="1" applyBorder="1" applyAlignment="1"/>
    <xf numFmtId="0" fontId="49" fillId="0" borderId="5" xfId="0" applyFont="1" applyBorder="1" applyAlignment="1"/>
    <xf numFmtId="0" fontId="0" fillId="4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18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86" fillId="5" borderId="24" xfId="0" applyFont="1" applyFill="1" applyBorder="1" applyAlignment="1">
      <alignment horizontal="left"/>
    </xf>
    <xf numFmtId="0" fontId="87" fillId="5" borderId="27" xfId="0" applyFont="1" applyFill="1" applyBorder="1" applyAlignment="1">
      <alignment horizontal="left"/>
    </xf>
    <xf numFmtId="0" fontId="87" fillId="5" borderId="26" xfId="0" applyFont="1" applyFill="1" applyBorder="1" applyAlignment="1">
      <alignment horizontal="left"/>
    </xf>
    <xf numFmtId="0" fontId="48" fillId="0" borderId="27" xfId="0" applyFont="1" applyBorder="1" applyAlignment="1"/>
    <xf numFmtId="0" fontId="0" fillId="0" borderId="27" xfId="0" applyBorder="1" applyAlignment="1"/>
    <xf numFmtId="164" fontId="40" fillId="0" borderId="16" xfId="0" applyNumberFormat="1" applyFont="1" applyFill="1" applyBorder="1" applyAlignment="1">
      <alignment horizontal="center" wrapText="1"/>
    </xf>
    <xf numFmtId="164" fontId="40" fillId="0" borderId="0" xfId="0" applyNumberFormat="1" applyFont="1" applyFill="1" applyBorder="1" applyAlignment="1">
      <alignment horizontal="center" wrapText="1"/>
    </xf>
    <xf numFmtId="164" fontId="40" fillId="0" borderId="4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4" xfId="0" applyFill="1" applyBorder="1" applyAlignment="1"/>
    <xf numFmtId="164" fontId="23" fillId="0" borderId="1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15" fillId="0" borderId="2" xfId="0" applyFont="1" applyFill="1" applyBorder="1" applyAlignment="1">
      <alignment wrapText="1"/>
    </xf>
    <xf numFmtId="4" fontId="81" fillId="0" borderId="2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4" borderId="4" xfId="0" applyFont="1" applyFill="1" applyBorder="1" applyAlignment="1">
      <alignment horizontal="justify" vertical="distributed" wrapText="1"/>
    </xf>
    <xf numFmtId="0" fontId="0" fillId="0" borderId="0" xfId="0" applyFont="1" applyAlignment="1"/>
    <xf numFmtId="0" fontId="0" fillId="0" borderId="5" xfId="0" applyFont="1" applyBorder="1" applyAlignment="1"/>
    <xf numFmtId="0" fontId="46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77" fillId="20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0" fontId="77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 horizontal="left"/>
    </xf>
    <xf numFmtId="164" fontId="8" fillId="0" borderId="4" xfId="0" applyNumberFormat="1" applyFont="1" applyFill="1" applyBorder="1" applyAlignment="1">
      <alignment horizontal="center"/>
    </xf>
    <xf numFmtId="164" fontId="40" fillId="0" borderId="4" xfId="0" applyNumberFormat="1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71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32" fillId="0" borderId="4" xfId="0" applyFont="1" applyFill="1" applyBorder="1" applyAlignment="1"/>
    <xf numFmtId="0" fontId="0" fillId="0" borderId="4" xfId="0" applyFont="1" applyFill="1" applyBorder="1" applyAlignment="1"/>
    <xf numFmtId="0" fontId="0" fillId="0" borderId="5" xfId="0" applyBorder="1" applyAlignment="1"/>
    <xf numFmtId="4" fontId="13" fillId="0" borderId="0" xfId="0" applyNumberFormat="1" applyFont="1" applyFill="1" applyBorder="1" applyAlignment="1">
      <alignment horizontal="left"/>
    </xf>
    <xf numFmtId="164" fontId="23" fillId="23" borderId="4" xfId="0" applyNumberFormat="1" applyFont="1" applyFill="1" applyBorder="1" applyAlignment="1">
      <alignment horizontal="justify" wrapText="1"/>
    </xf>
    <xf numFmtId="0" fontId="23" fillId="23" borderId="0" xfId="0" applyFont="1" applyFill="1" applyAlignment="1">
      <alignment horizontal="justify" wrapText="1"/>
    </xf>
    <xf numFmtId="0" fontId="16" fillId="23" borderId="0" xfId="0" applyFont="1" applyFill="1" applyAlignment="1"/>
    <xf numFmtId="0" fontId="13" fillId="0" borderId="35" xfId="0" applyFont="1" applyFill="1" applyBorder="1" applyAlignment="1"/>
    <xf numFmtId="0" fontId="0" fillId="0" borderId="39" xfId="0" applyBorder="1" applyAlignment="1"/>
    <xf numFmtId="164" fontId="13" fillId="0" borderId="16" xfId="0" applyNumberFormat="1" applyFont="1" applyFill="1" applyBorder="1" applyAlignment="1">
      <alignment horizontal="center"/>
    </xf>
    <xf numFmtId="0" fontId="0" fillId="7" borderId="4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42" xfId="0" applyFont="1" applyFill="1" applyBorder="1" applyAlignment="1">
      <alignment horizontal="left" vertical="center" wrapText="1" shrinkToFit="1"/>
    </xf>
    <xf numFmtId="0" fontId="0" fillId="7" borderId="25" xfId="0" applyFont="1" applyFill="1" applyBorder="1" applyAlignment="1">
      <alignment horizontal="left" vertical="center" wrapText="1" shrinkToFit="1"/>
    </xf>
    <xf numFmtId="0" fontId="0" fillId="7" borderId="77" xfId="0" applyFont="1" applyFill="1" applyBorder="1" applyAlignment="1">
      <alignment horizontal="left" vertical="center" wrapText="1" shrinkToFit="1"/>
    </xf>
    <xf numFmtId="0" fontId="0" fillId="7" borderId="73" xfId="0" applyFont="1" applyFill="1" applyBorder="1" applyAlignment="1">
      <alignment horizontal="left" vertical="center" wrapText="1" shrinkToFit="1"/>
    </xf>
    <xf numFmtId="0" fontId="16" fillId="7" borderId="77" xfId="0" applyFont="1" applyFill="1" applyBorder="1" applyAlignment="1">
      <alignment horizontal="left" vertical="center" wrapText="1"/>
    </xf>
    <xf numFmtId="0" fontId="16" fillId="7" borderId="73" xfId="0" applyFont="1" applyFill="1" applyBorder="1" applyAlignment="1">
      <alignment horizontal="left" vertical="center" wrapText="1"/>
    </xf>
    <xf numFmtId="0" fontId="16" fillId="7" borderId="78" xfId="0" applyFont="1" applyFill="1" applyBorder="1" applyAlignment="1">
      <alignment horizontal="left" vertical="center" wrapText="1"/>
    </xf>
    <xf numFmtId="0" fontId="0" fillId="7" borderId="42" xfId="0" applyFont="1" applyFill="1" applyBorder="1" applyAlignment="1">
      <alignment horizontal="left" vertical="center" wrapText="1"/>
    </xf>
    <xf numFmtId="0" fontId="0" fillId="7" borderId="25" xfId="0" applyFont="1" applyFill="1" applyBorder="1" applyAlignment="1">
      <alignment horizontal="left" vertical="center" wrapText="1"/>
    </xf>
    <xf numFmtId="0" fontId="0" fillId="7" borderId="28" xfId="0" applyFont="1" applyFill="1" applyBorder="1" applyAlignment="1">
      <alignment horizontal="left" vertical="center" wrapText="1"/>
    </xf>
    <xf numFmtId="0" fontId="0" fillId="7" borderId="57" xfId="0" applyFont="1" applyFill="1" applyBorder="1" applyAlignment="1">
      <alignment horizontal="left" vertical="center" wrapText="1"/>
    </xf>
    <xf numFmtId="0" fontId="0" fillId="7" borderId="79" xfId="0" applyFont="1" applyFill="1" applyBorder="1" applyAlignment="1">
      <alignment horizontal="left" vertical="center" wrapText="1"/>
    </xf>
    <xf numFmtId="0" fontId="0" fillId="7" borderId="58" xfId="0" applyFont="1" applyFill="1" applyBorder="1" applyAlignment="1">
      <alignment horizontal="left" vertical="center" wrapText="1"/>
    </xf>
    <xf numFmtId="0" fontId="18" fillId="7" borderId="12" xfId="0" applyFont="1" applyFill="1" applyBorder="1" applyAlignment="1"/>
    <xf numFmtId="0" fontId="0" fillId="7" borderId="13" xfId="0" applyFont="1" applyFill="1" applyBorder="1" applyAlignment="1"/>
    <xf numFmtId="0" fontId="0" fillId="7" borderId="14" xfId="0" applyFont="1" applyFill="1" applyBorder="1" applyAlignment="1"/>
    <xf numFmtId="0" fontId="48" fillId="0" borderId="0" xfId="0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0" fontId="48" fillId="0" borderId="5" xfId="0" applyFont="1" applyFill="1" applyBorder="1" applyAlignment="1">
      <alignment horizontal="right"/>
    </xf>
    <xf numFmtId="0" fontId="85" fillId="7" borderId="49" xfId="0" applyFont="1" applyFill="1" applyBorder="1" applyAlignment="1"/>
    <xf numFmtId="0" fontId="49" fillId="7" borderId="51" xfId="0" applyFont="1" applyFill="1" applyBorder="1" applyAlignment="1"/>
    <xf numFmtId="0" fontId="49" fillId="7" borderId="48" xfId="0" applyFont="1" applyFill="1" applyBorder="1" applyAlignment="1"/>
    <xf numFmtId="0" fontId="0" fillId="7" borderId="25" xfId="0" applyFont="1" applyFill="1" applyBorder="1" applyAlignment="1">
      <alignment horizontal="left" wrapText="1"/>
    </xf>
    <xf numFmtId="0" fontId="0" fillId="7" borderId="28" xfId="0" applyFont="1" applyFill="1" applyBorder="1" applyAlignment="1">
      <alignment horizontal="left" wrapText="1"/>
    </xf>
    <xf numFmtId="0" fontId="51" fillId="7" borderId="77" xfId="0" applyFont="1" applyFill="1" applyBorder="1" applyAlignment="1">
      <alignment horizontal="left" vertical="center" wrapText="1"/>
    </xf>
    <xf numFmtId="0" fontId="51" fillId="7" borderId="73" xfId="0" applyFont="1" applyFill="1" applyBorder="1" applyAlignment="1">
      <alignment horizontal="left" vertical="center" wrapText="1"/>
    </xf>
    <xf numFmtId="0" fontId="51" fillId="7" borderId="78" xfId="0" applyFont="1" applyFill="1" applyBorder="1" applyAlignment="1">
      <alignment horizontal="left" vertical="center" wrapText="1"/>
    </xf>
    <xf numFmtId="0" fontId="18" fillId="7" borderId="12" xfId="0" applyFont="1" applyFill="1" applyBorder="1" applyAlignment="1">
      <alignment horizontal="left" wrapText="1"/>
    </xf>
    <xf numFmtId="0" fontId="18" fillId="7" borderId="13" xfId="0" applyFont="1" applyFill="1" applyBorder="1" applyAlignment="1">
      <alignment horizontal="left" wrapText="1"/>
    </xf>
    <xf numFmtId="164" fontId="21" fillId="0" borderId="16" xfId="0" applyNumberFormat="1" applyFont="1" applyFill="1" applyBorder="1" applyAlignment="1">
      <alignment horizontal="center"/>
    </xf>
    <xf numFmtId="0" fontId="21" fillId="0" borderId="0" xfId="0" applyFont="1" applyAlignment="1"/>
    <xf numFmtId="0" fontId="0" fillId="0" borderId="35" xfId="0" applyFont="1" applyFill="1" applyBorder="1" applyAlignment="1"/>
    <xf numFmtId="0" fontId="0" fillId="0" borderId="39" xfId="0" applyFont="1" applyBorder="1" applyAlignment="1"/>
    <xf numFmtId="0" fontId="16" fillId="0" borderId="6" xfId="0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164" fontId="42" fillId="0" borderId="4" xfId="0" applyNumberFormat="1" applyFont="1" applyFill="1" applyBorder="1" applyAlignment="1">
      <alignment horizontal="justify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/>
    <xf numFmtId="0" fontId="115" fillId="0" borderId="0" xfId="0" applyFont="1" applyFill="1" applyBorder="1" applyAlignment="1">
      <alignment wrapText="1"/>
    </xf>
    <xf numFmtId="4" fontId="81" fillId="0" borderId="0" xfId="0" applyNumberFormat="1" applyFont="1" applyFill="1" applyBorder="1" applyAlignment="1">
      <alignment wrapText="1"/>
    </xf>
    <xf numFmtId="14" fontId="43" fillId="0" borderId="4" xfId="0" applyNumberFormat="1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14" fontId="0" fillId="0" borderId="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7" borderId="6" xfId="0" applyFont="1" applyFill="1" applyBorder="1" applyAlignment="1"/>
    <xf numFmtId="0" fontId="0" fillId="7" borderId="7" xfId="0" applyFont="1" applyFill="1" applyBorder="1" applyAlignment="1"/>
    <xf numFmtId="0" fontId="0" fillId="7" borderId="8" xfId="0" applyFont="1" applyFill="1" applyBorder="1" applyAlignment="1"/>
    <xf numFmtId="0" fontId="145" fillId="0" borderId="0" xfId="0" applyFont="1" applyFill="1" applyBorder="1" applyAlignment="1"/>
    <xf numFmtId="0" fontId="0" fillId="7" borderId="59" xfId="0" applyFont="1" applyFill="1" applyBorder="1" applyAlignment="1">
      <alignment horizontal="left" vertical="center" wrapText="1"/>
    </xf>
    <xf numFmtId="0" fontId="0" fillId="7" borderId="31" xfId="0" applyFont="1" applyFill="1" applyBorder="1" applyAlignment="1">
      <alignment horizontal="left" vertical="center" wrapText="1"/>
    </xf>
    <xf numFmtId="0" fontId="0" fillId="7" borderId="40" xfId="0" applyFont="1" applyFill="1" applyBorder="1" applyAlignment="1">
      <alignment horizontal="left" vertical="center" wrapText="1"/>
    </xf>
    <xf numFmtId="0" fontId="0" fillId="7" borderId="74" xfId="0" applyFont="1" applyFill="1" applyBorder="1" applyAlignment="1">
      <alignment horizontal="left" vertical="center" wrapText="1"/>
    </xf>
    <xf numFmtId="0" fontId="85" fillId="7" borderId="4" xfId="0" applyFont="1" applyFill="1" applyBorder="1" applyAlignment="1">
      <alignment horizontal="left" wrapText="1"/>
    </xf>
    <xf numFmtId="0" fontId="85" fillId="7" borderId="0" xfId="0" applyFont="1" applyFill="1" applyBorder="1" applyAlignment="1">
      <alignment horizontal="left" wrapText="1"/>
    </xf>
    <xf numFmtId="0" fontId="85" fillId="7" borderId="5" xfId="0" applyFont="1" applyFill="1" applyBorder="1" applyAlignment="1">
      <alignment horizontal="left" wrapText="1"/>
    </xf>
    <xf numFmtId="0" fontId="0" fillId="7" borderId="4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left" wrapText="1"/>
    </xf>
    <xf numFmtId="0" fontId="0" fillId="7" borderId="6" xfId="0" applyFont="1" applyFill="1" applyBorder="1" applyAlignment="1">
      <alignment horizontal="left" wrapText="1"/>
    </xf>
    <xf numFmtId="0" fontId="0" fillId="7" borderId="7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left" wrapText="1"/>
    </xf>
    <xf numFmtId="0" fontId="2" fillId="7" borderId="24" xfId="0" applyFont="1" applyFill="1" applyBorder="1" applyAlignment="1">
      <alignment horizontal="left" wrapText="1"/>
    </xf>
    <xf numFmtId="0" fontId="0" fillId="7" borderId="27" xfId="0" applyFont="1" applyFill="1" applyBorder="1" applyAlignment="1">
      <alignment horizontal="left" wrapText="1"/>
    </xf>
    <xf numFmtId="0" fontId="0" fillId="7" borderId="26" xfId="0" applyFont="1" applyFill="1" applyBorder="1" applyAlignment="1">
      <alignment horizontal="left" wrapText="1"/>
    </xf>
    <xf numFmtId="0" fontId="0" fillId="7" borderId="11" xfId="0" applyFont="1" applyFill="1" applyBorder="1" applyAlignment="1">
      <alignment horizontal="left" vertical="center" wrapText="1"/>
    </xf>
    <xf numFmtId="0" fontId="0" fillId="7" borderId="5" xfId="0" applyFont="1" applyFill="1" applyBorder="1" applyAlignment="1">
      <alignment horizontal="left" vertical="center" wrapText="1"/>
    </xf>
    <xf numFmtId="0" fontId="0" fillId="7" borderId="35" xfId="0" applyFont="1" applyFill="1" applyBorder="1" applyAlignment="1">
      <alignment horizontal="left" vertical="center" wrapText="1"/>
    </xf>
    <xf numFmtId="0" fontId="0" fillId="7" borderId="39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43" xfId="0" applyFont="1" applyFill="1" applyBorder="1" applyAlignment="1">
      <alignment horizontal="left" vertical="center" wrapText="1"/>
    </xf>
    <xf numFmtId="0" fontId="51" fillId="0" borderId="44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51" fillId="7" borderId="36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51" fillId="7" borderId="85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3" xfId="0" applyBorder="1" applyAlignment="1">
      <alignment wrapText="1"/>
    </xf>
    <xf numFmtId="0" fontId="0" fillId="7" borderId="77" xfId="0" applyFont="1" applyFill="1" applyBorder="1" applyAlignment="1">
      <alignment horizontal="left" vertical="center" wrapText="1"/>
    </xf>
    <xf numFmtId="0" fontId="0" fillId="7" borderId="73" xfId="0" applyFont="1" applyFill="1" applyBorder="1" applyAlignment="1">
      <alignment horizontal="left" vertical="center" wrapText="1"/>
    </xf>
    <xf numFmtId="0" fontId="0" fillId="7" borderId="7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7" borderId="25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 shrinkToFit="1"/>
    </xf>
    <xf numFmtId="0" fontId="0" fillId="7" borderId="17" xfId="0" applyFont="1" applyFill="1" applyBorder="1" applyAlignment="1">
      <alignment horizontal="left" vertical="center" wrapText="1" shrinkToFit="1"/>
    </xf>
    <xf numFmtId="0" fontId="0" fillId="7" borderId="75" xfId="0" applyFont="1" applyFill="1" applyBorder="1" applyAlignment="1">
      <alignment horizontal="left" vertical="center" wrapText="1" shrinkToFit="1"/>
    </xf>
    <xf numFmtId="0" fontId="0" fillId="7" borderId="35" xfId="0" applyFont="1" applyFill="1" applyBorder="1" applyAlignment="1">
      <alignment horizontal="left" vertical="center" wrapText="1" shrinkToFit="1"/>
    </xf>
    <xf numFmtId="0" fontId="0" fillId="7" borderId="39" xfId="0" applyFont="1" applyFill="1" applyBorder="1" applyAlignment="1">
      <alignment horizontal="left" vertical="center" wrapText="1" shrinkToFit="1"/>
    </xf>
    <xf numFmtId="0" fontId="0" fillId="7" borderId="76" xfId="0" applyFont="1" applyFill="1" applyBorder="1" applyAlignment="1">
      <alignment horizontal="left" vertical="center" wrapText="1" shrinkToFit="1"/>
    </xf>
    <xf numFmtId="0" fontId="0" fillId="7" borderId="40" xfId="0" applyFont="1" applyFill="1" applyBorder="1" applyAlignment="1">
      <alignment horizontal="left" vertical="center" wrapText="1" shrinkToFit="1"/>
    </xf>
    <xf numFmtId="0" fontId="0" fillId="7" borderId="74" xfId="0" applyFont="1" applyFill="1" applyBorder="1" applyAlignment="1">
      <alignment horizontal="left" vertical="center" wrapText="1" shrinkToFit="1"/>
    </xf>
    <xf numFmtId="0" fontId="0" fillId="7" borderId="30" xfId="0" applyFont="1" applyFill="1" applyBorder="1" applyAlignment="1">
      <alignment horizontal="left" vertical="center" wrapText="1" shrinkToFit="1"/>
    </xf>
    <xf numFmtId="0" fontId="0" fillId="7" borderId="33" xfId="0" applyFont="1" applyFill="1" applyBorder="1" applyAlignment="1">
      <alignment horizontal="left" vertical="center" wrapText="1" shrinkToFit="1"/>
    </xf>
    <xf numFmtId="0" fontId="0" fillId="7" borderId="72" xfId="0" applyFont="1" applyFill="1" applyBorder="1" applyAlignment="1">
      <alignment horizontal="left" vertical="center" wrapText="1" shrinkToFi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533"/>
  <sheetViews>
    <sheetView topLeftCell="A332" zoomScale="85" zoomScaleNormal="85" workbookViewId="0">
      <selection activeCell="J245" sqref="J245"/>
    </sheetView>
  </sheetViews>
  <sheetFormatPr defaultRowHeight="12.5" x14ac:dyDescent="0.25"/>
  <cols>
    <col min="1" max="1" width="13.1796875" customWidth="1"/>
    <col min="2" max="2" width="12" customWidth="1"/>
    <col min="4" max="4" width="11" customWidth="1"/>
    <col min="7" max="7" width="14.1796875" customWidth="1"/>
    <col min="9" max="9" width="11.7265625" bestFit="1" customWidth="1"/>
    <col min="10" max="10" width="32.453125" customWidth="1"/>
    <col min="11" max="11" width="0.54296875" customWidth="1"/>
    <col min="12" max="14" width="15.81640625" hidden="1" customWidth="1"/>
    <col min="15" max="20" width="9" hidden="1" customWidth="1"/>
    <col min="21" max="21" width="0.453125" hidden="1" customWidth="1"/>
    <col min="22" max="22" width="20.26953125" customWidth="1"/>
    <col min="23" max="23" width="21.453125" customWidth="1"/>
    <col min="24" max="24" width="19.81640625" customWidth="1"/>
    <col min="25" max="25" width="11.453125" hidden="1" customWidth="1"/>
    <col min="26" max="26" width="14.81640625" customWidth="1"/>
    <col min="27" max="27" width="14.7265625" customWidth="1"/>
    <col min="28" max="28" width="13.81640625" customWidth="1"/>
    <col min="29" max="29" width="16" customWidth="1"/>
    <col min="30" max="30" width="11.7265625" hidden="1" customWidth="1"/>
    <col min="31" max="32" width="8.7265625" hidden="1" customWidth="1"/>
    <col min="34" max="34" width="9.1796875" customWidth="1"/>
    <col min="38" max="38" width="15.54296875" customWidth="1"/>
  </cols>
  <sheetData>
    <row r="1" spans="2:24" ht="15.5" x14ac:dyDescent="0.35">
      <c r="C1" s="1"/>
      <c r="D1" s="2" t="s">
        <v>0</v>
      </c>
      <c r="E1" s="3"/>
      <c r="F1" s="3"/>
      <c r="G1" s="4"/>
      <c r="H1" s="3"/>
      <c r="I1" s="5"/>
      <c r="J1" s="5"/>
      <c r="K1" s="6"/>
      <c r="L1" s="6"/>
      <c r="M1" s="6"/>
      <c r="N1" s="6"/>
      <c r="O1" s="6"/>
      <c r="P1" s="6"/>
    </row>
    <row r="2" spans="2:24" ht="15.5" x14ac:dyDescent="0.35">
      <c r="C2" s="7" t="s">
        <v>317</v>
      </c>
      <c r="D2" s="3"/>
      <c r="E2" s="3"/>
      <c r="F2" s="3"/>
      <c r="G2" s="4"/>
      <c r="H2" s="3"/>
      <c r="I2" s="5"/>
      <c r="J2" s="5"/>
      <c r="K2" s="6"/>
      <c r="L2" s="6"/>
      <c r="M2" s="6"/>
      <c r="N2" s="6"/>
      <c r="O2" s="6"/>
      <c r="P2" s="6"/>
    </row>
    <row r="3" spans="2:24" ht="14" x14ac:dyDescent="0.3">
      <c r="D3" s="8"/>
      <c r="E3" s="9" t="s">
        <v>318</v>
      </c>
      <c r="F3" s="10"/>
      <c r="G3" s="11"/>
      <c r="I3" s="6"/>
      <c r="J3" s="6"/>
      <c r="K3" s="6"/>
      <c r="L3" s="6"/>
      <c r="M3" s="6"/>
      <c r="N3" s="6"/>
      <c r="O3" s="6"/>
      <c r="P3" s="6"/>
    </row>
    <row r="4" spans="2:24" x14ac:dyDescent="0.25">
      <c r="D4" s="8"/>
      <c r="G4" s="12"/>
      <c r="I4" s="6"/>
      <c r="J4" s="6"/>
      <c r="K4" s="6"/>
      <c r="L4" s="6"/>
      <c r="M4" s="6"/>
      <c r="N4" s="6"/>
      <c r="O4" s="6"/>
      <c r="P4" s="6"/>
    </row>
    <row r="5" spans="2:24" ht="13" x14ac:dyDescent="0.3">
      <c r="B5" s="13" t="s">
        <v>1</v>
      </c>
      <c r="C5" s="14"/>
      <c r="D5" s="14"/>
      <c r="E5" s="14"/>
      <c r="F5" s="14"/>
      <c r="G5" s="14"/>
      <c r="H5" s="14"/>
      <c r="I5" s="6"/>
      <c r="J5" s="6"/>
      <c r="K5" s="6"/>
      <c r="L5" s="6"/>
      <c r="M5" s="6"/>
      <c r="N5" s="6"/>
      <c r="O5" s="6"/>
      <c r="P5" s="6"/>
      <c r="Q5" s="14"/>
      <c r="R5" s="14"/>
      <c r="S5" s="14"/>
      <c r="T5" s="14"/>
      <c r="U5" s="14"/>
      <c r="V5" s="14"/>
      <c r="W5" s="15"/>
      <c r="X5" s="15"/>
    </row>
    <row r="6" spans="2:24" x14ac:dyDescent="0.25">
      <c r="B6" s="16" t="s">
        <v>2</v>
      </c>
      <c r="C6" s="14"/>
      <c r="D6" s="14"/>
      <c r="E6" s="14"/>
      <c r="F6" s="14"/>
      <c r="G6" s="14"/>
      <c r="H6" s="14"/>
      <c r="I6" s="6"/>
      <c r="J6" s="6"/>
      <c r="K6" s="6"/>
      <c r="L6" s="6"/>
      <c r="M6" s="6"/>
      <c r="N6" s="6"/>
      <c r="O6" s="6"/>
      <c r="P6" s="6"/>
      <c r="Q6" s="14"/>
      <c r="R6" s="14"/>
      <c r="S6" s="14"/>
      <c r="T6" s="14"/>
      <c r="U6" s="14"/>
      <c r="V6" s="14"/>
      <c r="W6" s="15"/>
      <c r="X6" s="15"/>
    </row>
    <row r="7" spans="2:24" x14ac:dyDescent="0.25">
      <c r="B7" s="17" t="s">
        <v>3</v>
      </c>
      <c r="C7" s="14"/>
      <c r="D7" s="14"/>
      <c r="E7" s="14"/>
      <c r="F7" s="14"/>
      <c r="G7" s="14"/>
      <c r="H7" s="14"/>
      <c r="I7" s="6"/>
      <c r="J7" s="6"/>
      <c r="K7" s="6"/>
      <c r="L7" s="6"/>
      <c r="M7" s="6"/>
      <c r="N7" s="6"/>
      <c r="O7" s="6"/>
      <c r="P7" s="6"/>
      <c r="Q7" s="14"/>
      <c r="R7" s="14"/>
      <c r="S7" s="14"/>
      <c r="T7" s="14"/>
      <c r="U7" s="14"/>
      <c r="V7" s="14"/>
      <c r="W7" s="15"/>
      <c r="X7" s="15"/>
    </row>
    <row r="8" spans="2:24" x14ac:dyDescent="0.25">
      <c r="B8" s="16" t="s">
        <v>4</v>
      </c>
      <c r="C8" s="14"/>
      <c r="D8" s="14"/>
      <c r="E8" s="14"/>
      <c r="F8" s="14"/>
      <c r="G8" s="14"/>
      <c r="H8" s="14"/>
      <c r="I8" s="6"/>
      <c r="J8" s="6"/>
      <c r="K8" s="6"/>
      <c r="L8" s="6"/>
      <c r="M8" s="6"/>
      <c r="N8" s="6"/>
      <c r="O8" s="6"/>
      <c r="P8" s="6"/>
      <c r="Q8" s="14"/>
      <c r="R8" s="14"/>
      <c r="S8" s="14"/>
      <c r="T8" s="14"/>
      <c r="U8" s="14"/>
      <c r="V8" s="14"/>
      <c r="W8" s="15"/>
      <c r="X8" s="15"/>
    </row>
    <row r="9" spans="2:24" x14ac:dyDescent="0.25">
      <c r="B9" s="16" t="s">
        <v>5</v>
      </c>
      <c r="C9" s="14"/>
      <c r="D9" s="14"/>
      <c r="E9" s="14"/>
      <c r="F9" s="14"/>
      <c r="G9" s="14"/>
      <c r="H9" s="14"/>
      <c r="I9" s="6"/>
      <c r="J9" s="6"/>
      <c r="K9" s="6"/>
      <c r="L9" s="6"/>
      <c r="M9" s="6"/>
      <c r="N9" s="6"/>
      <c r="O9" s="6"/>
      <c r="P9" s="6"/>
      <c r="Q9" s="14"/>
      <c r="R9" s="14"/>
      <c r="S9" s="14"/>
      <c r="T9" s="14"/>
      <c r="U9" s="14"/>
      <c r="V9" s="14"/>
      <c r="W9" s="15"/>
      <c r="X9" s="15"/>
    </row>
    <row r="10" spans="2:24" x14ac:dyDescent="0.25">
      <c r="B10" s="16" t="s">
        <v>6</v>
      </c>
      <c r="C10" s="14"/>
      <c r="D10" s="14"/>
      <c r="E10" s="14"/>
      <c r="F10" s="14"/>
      <c r="G10" s="14"/>
      <c r="H10" s="14"/>
      <c r="I10" s="6"/>
      <c r="J10" s="6"/>
      <c r="K10" s="6"/>
      <c r="L10" s="6"/>
      <c r="M10" s="6"/>
      <c r="N10" s="6"/>
      <c r="O10" s="6"/>
      <c r="P10" s="6"/>
      <c r="Q10" s="14"/>
      <c r="R10" s="14"/>
      <c r="S10" s="14"/>
      <c r="T10" s="14"/>
      <c r="U10" s="14"/>
      <c r="V10" s="14"/>
      <c r="W10" s="15"/>
      <c r="X10" s="15"/>
    </row>
    <row r="11" spans="2:24" x14ac:dyDescent="0.25">
      <c r="B11" s="16" t="s">
        <v>7</v>
      </c>
      <c r="C11" s="14"/>
      <c r="D11" s="14"/>
      <c r="E11" s="14"/>
      <c r="F11" s="14"/>
      <c r="G11" s="14"/>
      <c r="H11" s="14"/>
      <c r="I11" s="6"/>
      <c r="J11" s="6"/>
      <c r="K11" s="6"/>
      <c r="L11" s="6"/>
      <c r="M11" s="6"/>
      <c r="N11" s="6"/>
      <c r="O11" s="6"/>
      <c r="P11" s="6"/>
      <c r="Q11" s="14"/>
      <c r="R11" s="14"/>
      <c r="S11" s="14"/>
      <c r="T11" s="14"/>
      <c r="U11" s="14"/>
      <c r="V11" s="14"/>
      <c r="W11" s="15"/>
      <c r="X11" s="15"/>
    </row>
    <row r="12" spans="2:24" x14ac:dyDescent="0.25">
      <c r="B12" s="16" t="s">
        <v>8</v>
      </c>
      <c r="C12" s="14"/>
      <c r="D12" s="14"/>
      <c r="E12" s="14"/>
      <c r="F12" s="14"/>
      <c r="G12" s="14"/>
      <c r="H12" s="16"/>
      <c r="I12" s="6"/>
      <c r="J12" s="6"/>
      <c r="K12" s="6"/>
      <c r="L12" s="6"/>
      <c r="M12" s="6"/>
      <c r="N12" s="6"/>
      <c r="O12" s="6"/>
      <c r="P12" s="6"/>
      <c r="Q12" s="14"/>
      <c r="R12" s="14"/>
      <c r="S12" s="14"/>
      <c r="T12" s="14"/>
      <c r="U12" s="14"/>
      <c r="V12" s="14"/>
      <c r="W12" s="15"/>
      <c r="X12" s="15"/>
    </row>
    <row r="13" spans="2:24" x14ac:dyDescent="0.25">
      <c r="B13" s="14"/>
      <c r="C13" s="14"/>
      <c r="D13" s="14"/>
      <c r="E13" s="14"/>
      <c r="F13" s="14"/>
      <c r="G13" s="14"/>
      <c r="H13" s="16"/>
      <c r="I13" s="6"/>
      <c r="J13" s="6"/>
      <c r="K13" s="6"/>
      <c r="L13" s="6"/>
      <c r="M13" s="6"/>
      <c r="N13" s="6"/>
      <c r="O13" s="6"/>
      <c r="P13" s="6"/>
      <c r="Q13" s="14"/>
      <c r="R13" s="14"/>
      <c r="S13" s="14"/>
      <c r="T13" s="14"/>
      <c r="U13" s="14"/>
      <c r="V13" s="14"/>
      <c r="W13" s="15"/>
      <c r="X13" s="15"/>
    </row>
    <row r="14" spans="2:24" ht="13" x14ac:dyDescent="0.3">
      <c r="B14" s="13" t="s">
        <v>9</v>
      </c>
      <c r="C14" s="14"/>
      <c r="D14" s="14"/>
      <c r="E14" s="14"/>
      <c r="F14" s="14"/>
      <c r="G14" s="14"/>
      <c r="H14" s="18"/>
      <c r="I14" s="6"/>
      <c r="J14" s="6"/>
      <c r="K14" s="6"/>
      <c r="L14" s="6"/>
      <c r="M14" s="6"/>
      <c r="N14" s="6"/>
      <c r="O14" s="6"/>
      <c r="P14" s="6"/>
      <c r="Q14" s="14"/>
      <c r="R14" s="14"/>
      <c r="S14" s="14"/>
      <c r="T14" s="14"/>
      <c r="U14" s="14"/>
      <c r="V14" s="14"/>
      <c r="W14" s="15"/>
      <c r="X14" s="15"/>
    </row>
    <row r="15" spans="2:24" x14ac:dyDescent="0.25">
      <c r="B15" s="16" t="s">
        <v>2</v>
      </c>
      <c r="C15" s="14"/>
      <c r="D15" s="14"/>
      <c r="E15" s="14"/>
      <c r="F15" s="14"/>
      <c r="G15" s="14"/>
      <c r="H15" s="14"/>
      <c r="I15" s="6"/>
      <c r="J15" s="6"/>
      <c r="K15" s="6"/>
      <c r="L15" s="6"/>
      <c r="M15" s="6"/>
      <c r="N15" s="6"/>
      <c r="O15" s="6"/>
      <c r="P15" s="6"/>
      <c r="Q15" s="14"/>
      <c r="R15" s="14"/>
      <c r="S15" s="14"/>
      <c r="T15" s="14"/>
      <c r="U15" s="14"/>
      <c r="V15" s="14"/>
      <c r="W15" s="15"/>
      <c r="X15" s="15"/>
    </row>
    <row r="16" spans="2:24" x14ac:dyDescent="0.25">
      <c r="B16" s="17" t="s">
        <v>3</v>
      </c>
      <c r="C16" s="14"/>
      <c r="D16" s="14"/>
      <c r="E16" s="14"/>
      <c r="F16" s="14"/>
      <c r="G16" s="14"/>
      <c r="H16" s="14"/>
      <c r="I16" s="6"/>
      <c r="J16" s="6"/>
      <c r="K16" s="6"/>
      <c r="L16" s="6"/>
      <c r="M16" s="6"/>
      <c r="N16" s="6"/>
      <c r="O16" s="6"/>
      <c r="P16" s="6"/>
      <c r="Q16" s="14"/>
      <c r="R16" s="14"/>
      <c r="S16" s="14"/>
      <c r="T16" s="14"/>
      <c r="U16" s="14"/>
      <c r="V16" s="14"/>
      <c r="W16" s="15"/>
      <c r="X16" s="15"/>
    </row>
    <row r="17" spans="1:25" x14ac:dyDescent="0.25">
      <c r="B17" s="16" t="s">
        <v>4</v>
      </c>
      <c r="C17" s="14"/>
      <c r="D17" s="14"/>
      <c r="E17" s="14"/>
      <c r="F17" s="14"/>
      <c r="G17" s="14"/>
      <c r="H17" s="14"/>
      <c r="I17" s="6"/>
      <c r="J17" s="6"/>
      <c r="K17" s="6"/>
      <c r="L17" s="6"/>
      <c r="M17" s="6"/>
      <c r="N17" s="6"/>
      <c r="O17" s="6"/>
      <c r="P17" s="6"/>
      <c r="Q17" s="14"/>
      <c r="R17" s="14"/>
      <c r="S17" s="14"/>
      <c r="T17" s="14"/>
      <c r="U17" s="14"/>
      <c r="V17" s="14"/>
      <c r="W17" s="15"/>
      <c r="X17" s="15"/>
    </row>
    <row r="18" spans="1:25" x14ac:dyDescent="0.25">
      <c r="B18" s="16" t="s">
        <v>5</v>
      </c>
      <c r="C18" s="14"/>
      <c r="D18" s="14"/>
      <c r="E18" s="14"/>
      <c r="F18" s="14"/>
      <c r="G18" s="14"/>
      <c r="H18" s="14"/>
      <c r="I18" s="6"/>
      <c r="J18" s="6"/>
      <c r="K18" s="6"/>
      <c r="L18" s="6"/>
      <c r="M18" s="6"/>
      <c r="N18" s="6"/>
      <c r="O18" s="6"/>
      <c r="P18" s="6"/>
      <c r="Q18" s="14"/>
      <c r="R18" s="14"/>
      <c r="S18" s="14"/>
      <c r="T18" s="14"/>
      <c r="U18" s="14"/>
      <c r="V18" s="14"/>
      <c r="W18" s="15"/>
      <c r="X18" s="15"/>
    </row>
    <row r="19" spans="1:25" x14ac:dyDescent="0.25">
      <c r="B19" s="16" t="s">
        <v>6</v>
      </c>
      <c r="C19" s="14"/>
      <c r="D19" s="14"/>
      <c r="E19" s="14"/>
      <c r="F19" s="14"/>
      <c r="G19" s="14"/>
      <c r="H19" s="14"/>
      <c r="I19" s="6"/>
      <c r="J19" s="6"/>
      <c r="K19" s="6"/>
      <c r="L19" s="6"/>
      <c r="M19" s="6"/>
      <c r="N19" s="6"/>
      <c r="O19" s="6"/>
      <c r="P19" s="6"/>
      <c r="Q19" s="14"/>
      <c r="R19" s="14"/>
      <c r="S19" s="14"/>
      <c r="T19" s="14"/>
      <c r="U19" s="14"/>
      <c r="V19" s="14"/>
      <c r="W19" s="15"/>
      <c r="X19" s="15"/>
    </row>
    <row r="20" spans="1:25" x14ac:dyDescent="0.25">
      <c r="B20" s="16" t="s">
        <v>7</v>
      </c>
      <c r="C20" s="14"/>
      <c r="D20" s="14"/>
      <c r="E20" s="14"/>
      <c r="F20" s="14"/>
      <c r="G20" s="14"/>
      <c r="H20" s="14"/>
      <c r="I20" s="6"/>
      <c r="J20" s="6"/>
      <c r="K20" s="6"/>
      <c r="L20" s="6"/>
      <c r="M20" s="6"/>
      <c r="N20" s="6"/>
      <c r="O20" s="6"/>
      <c r="P20" s="6"/>
      <c r="Q20" s="14"/>
      <c r="R20" s="14"/>
      <c r="S20" s="14"/>
      <c r="T20" s="14"/>
      <c r="U20" s="14"/>
      <c r="V20" s="14"/>
      <c r="W20" s="15"/>
      <c r="X20" s="15"/>
    </row>
    <row r="21" spans="1:25" x14ac:dyDescent="0.25">
      <c r="B21" s="16" t="s">
        <v>8</v>
      </c>
      <c r="C21" s="14"/>
      <c r="D21" s="14"/>
      <c r="E21" s="14"/>
      <c r="F21" s="14"/>
      <c r="G21" s="14"/>
      <c r="H21" s="14"/>
      <c r="I21" s="6"/>
      <c r="J21" s="6"/>
      <c r="K21" s="6"/>
      <c r="L21" s="6"/>
      <c r="M21" s="6"/>
      <c r="N21" s="6"/>
      <c r="O21" s="6"/>
      <c r="P21" s="6"/>
      <c r="Q21" s="14"/>
      <c r="R21" s="14"/>
      <c r="S21" s="14"/>
      <c r="T21" s="14"/>
      <c r="U21" s="14"/>
      <c r="V21" s="14"/>
      <c r="W21" s="15"/>
      <c r="X21" s="15"/>
    </row>
    <row r="22" spans="1:25" ht="13" x14ac:dyDescent="0.3">
      <c r="B22" s="6"/>
      <c r="C22" s="14"/>
      <c r="D22" s="14"/>
      <c r="E22" s="14"/>
      <c r="F22" s="14"/>
      <c r="G22" s="14"/>
      <c r="H22" s="18"/>
      <c r="I22" s="6"/>
      <c r="J22" s="6"/>
      <c r="K22" s="6"/>
      <c r="L22" s="6"/>
      <c r="M22" s="6"/>
      <c r="N22" s="6"/>
      <c r="O22" s="6"/>
      <c r="P22" s="6"/>
      <c r="Q22" s="14"/>
      <c r="R22" s="14"/>
      <c r="S22" s="14"/>
      <c r="T22" s="14"/>
      <c r="U22" s="14"/>
      <c r="V22" s="14"/>
      <c r="W22" s="15"/>
      <c r="X22" s="15"/>
    </row>
    <row r="23" spans="1:25" ht="13" x14ac:dyDescent="0.3">
      <c r="B23" s="6" t="s">
        <v>10</v>
      </c>
      <c r="C23" s="6"/>
      <c r="D23" s="14"/>
      <c r="E23" s="14"/>
      <c r="F23" s="18"/>
      <c r="G23" s="18"/>
      <c r="H23" s="18"/>
      <c r="I23" s="19"/>
      <c r="J23" s="19"/>
      <c r="K23" s="19"/>
      <c r="L23" s="19"/>
      <c r="M23" s="19"/>
      <c r="N23" s="19"/>
      <c r="O23" s="6"/>
      <c r="P23" s="6"/>
      <c r="Q23" s="14"/>
      <c r="R23" s="14"/>
      <c r="S23" s="14"/>
      <c r="T23" s="14"/>
      <c r="U23" s="14"/>
      <c r="V23" s="14"/>
    </row>
    <row r="24" spans="1:25" ht="13" x14ac:dyDescent="0.3">
      <c r="B24" s="6" t="s">
        <v>11</v>
      </c>
      <c r="C24" s="14"/>
      <c r="D24" s="14"/>
      <c r="E24" s="14"/>
      <c r="F24" s="18"/>
      <c r="G24" s="18"/>
      <c r="H24" s="18"/>
      <c r="I24" s="19"/>
      <c r="J24" s="19"/>
      <c r="K24" s="19"/>
      <c r="L24" s="19"/>
      <c r="M24" s="19"/>
      <c r="N24" s="19"/>
      <c r="O24" s="6"/>
      <c r="P24" s="6"/>
      <c r="Q24" s="14"/>
      <c r="R24" s="14"/>
      <c r="S24" s="14"/>
      <c r="T24" s="14"/>
      <c r="U24" s="14"/>
      <c r="V24" s="14"/>
    </row>
    <row r="25" spans="1:25" ht="13" x14ac:dyDescent="0.3">
      <c r="B25" s="6"/>
      <c r="F25" s="18"/>
      <c r="G25" s="18"/>
      <c r="H25" s="18"/>
      <c r="I25" s="19"/>
      <c r="J25" s="19"/>
      <c r="K25" s="19"/>
      <c r="L25" s="19"/>
      <c r="M25" s="19"/>
      <c r="N25" s="19"/>
      <c r="O25" s="6"/>
      <c r="P25" s="6"/>
    </row>
    <row r="26" spans="1:25" ht="15.5" x14ac:dyDescent="0.35">
      <c r="B26" s="20" t="s">
        <v>12</v>
      </c>
      <c r="C26" s="10"/>
      <c r="D26" s="10"/>
      <c r="E26" s="10"/>
      <c r="F26" s="10"/>
      <c r="G26" s="10"/>
      <c r="H26" s="10"/>
      <c r="I26" s="21"/>
      <c r="J26" s="21"/>
      <c r="K26" s="21"/>
      <c r="L26" s="21"/>
      <c r="M26" s="21"/>
      <c r="N26" s="6"/>
      <c r="O26" s="6"/>
      <c r="P26" s="6"/>
    </row>
    <row r="27" spans="1:25" ht="15.5" x14ac:dyDescent="0.35">
      <c r="B27" s="20" t="s">
        <v>13</v>
      </c>
      <c r="C27" s="22"/>
      <c r="D27" s="22"/>
      <c r="E27" s="838"/>
      <c r="I27" s="6"/>
      <c r="J27" s="6"/>
      <c r="K27" s="6"/>
      <c r="L27" s="6"/>
      <c r="M27" s="6"/>
      <c r="N27" s="6"/>
      <c r="O27" s="6"/>
      <c r="P27" s="6"/>
    </row>
    <row r="28" spans="1:25" ht="13" x14ac:dyDescent="0.3">
      <c r="A28" s="24" t="s">
        <v>14</v>
      </c>
      <c r="B28" s="860" t="s">
        <v>301</v>
      </c>
      <c r="I28" s="6"/>
      <c r="J28" s="26"/>
      <c r="K28" s="6"/>
      <c r="L28" s="6"/>
      <c r="O28" s="6"/>
      <c r="P28" s="6"/>
    </row>
    <row r="29" spans="1:25" ht="13" x14ac:dyDescent="0.3">
      <c r="A29" s="24"/>
      <c r="B29" s="860"/>
      <c r="E29" s="1017" t="s">
        <v>15</v>
      </c>
      <c r="F29" s="1095"/>
      <c r="G29" s="1095"/>
      <c r="H29" s="1017" t="s">
        <v>16</v>
      </c>
      <c r="I29" s="1017"/>
      <c r="J29" s="26" t="s">
        <v>332</v>
      </c>
      <c r="K29" s="6"/>
      <c r="L29" s="6"/>
      <c r="O29" s="6"/>
      <c r="P29" s="6"/>
    </row>
    <row r="30" spans="1:25" ht="13" x14ac:dyDescent="0.3">
      <c r="A30" s="24"/>
      <c r="B30" s="860"/>
      <c r="D30" s="28"/>
      <c r="E30" s="29"/>
      <c r="F30" s="882"/>
      <c r="G30" s="882"/>
      <c r="H30" s="882"/>
      <c r="I30" s="29"/>
      <c r="J30" s="26"/>
      <c r="K30" s="6"/>
      <c r="L30" s="6"/>
      <c r="O30" s="6"/>
      <c r="P30" s="6"/>
    </row>
    <row r="31" spans="1:25" ht="13" x14ac:dyDescent="0.3">
      <c r="A31" s="24"/>
      <c r="B31" s="860"/>
      <c r="D31" s="28"/>
      <c r="E31" s="29" t="s">
        <v>384</v>
      </c>
      <c r="F31" s="882"/>
      <c r="G31" s="882"/>
      <c r="H31" s="882"/>
      <c r="I31" s="29"/>
      <c r="J31" s="29"/>
      <c r="K31" s="6"/>
      <c r="L31" s="6"/>
      <c r="O31" s="6"/>
      <c r="P31" s="6"/>
    </row>
    <row r="32" spans="1:25" ht="13" x14ac:dyDescent="0.3">
      <c r="A32" s="31"/>
      <c r="E32" s="29" t="s">
        <v>328</v>
      </c>
      <c r="F32" s="29"/>
      <c r="G32" s="29"/>
      <c r="H32" s="29"/>
      <c r="I32" s="29"/>
      <c r="J32" s="29"/>
      <c r="K32" s="29"/>
      <c r="L32" s="29"/>
      <c r="M32" s="29"/>
      <c r="N32" s="32"/>
      <c r="O32" s="29"/>
      <c r="P32" s="29"/>
      <c r="Q32" s="838"/>
      <c r="R32" s="838"/>
      <c r="S32" s="838"/>
      <c r="T32" s="838"/>
      <c r="U32" s="838"/>
      <c r="V32" s="885"/>
      <c r="W32" s="885"/>
      <c r="X32" s="885"/>
      <c r="Y32" s="838"/>
    </row>
    <row r="33" spans="1:46" ht="13" x14ac:dyDescent="0.3">
      <c r="A33" s="896"/>
      <c r="B33" s="35"/>
      <c r="C33" s="35"/>
      <c r="E33" s="29" t="s">
        <v>385</v>
      </c>
      <c r="F33" s="29"/>
      <c r="G33" s="29"/>
      <c r="H33" s="29"/>
      <c r="I33" s="29"/>
      <c r="J33" s="29"/>
      <c r="K33" s="29"/>
      <c r="L33" s="29"/>
      <c r="M33" s="29"/>
      <c r="N33" s="32"/>
      <c r="O33" s="29"/>
      <c r="P33" s="29"/>
      <c r="Q33" s="838"/>
      <c r="R33" s="838"/>
      <c r="S33" s="838"/>
      <c r="T33" s="838"/>
      <c r="U33" s="838"/>
      <c r="V33" s="885"/>
      <c r="W33" s="885"/>
      <c r="X33" s="885"/>
      <c r="Y33" s="838"/>
    </row>
    <row r="34" spans="1:46" ht="13" x14ac:dyDescent="0.3">
      <c r="A34" s="31"/>
      <c r="E34" s="6" t="s">
        <v>386</v>
      </c>
      <c r="F34" s="6"/>
      <c r="G34" s="6"/>
      <c r="H34" s="6"/>
      <c r="I34" s="6"/>
      <c r="J34" s="6"/>
      <c r="K34" s="6"/>
      <c r="L34" s="6"/>
      <c r="M34" s="6"/>
      <c r="N34" s="36"/>
      <c r="O34" s="6"/>
      <c r="P34" s="6"/>
      <c r="V34" s="885"/>
      <c r="W34" s="885"/>
      <c r="X34" s="885"/>
    </row>
    <row r="35" spans="1:46" ht="13" x14ac:dyDescent="0.3">
      <c r="E35" s="29" t="s">
        <v>329</v>
      </c>
      <c r="F35" s="29"/>
      <c r="G35" s="29"/>
      <c r="H35" s="29"/>
      <c r="I35" s="29"/>
      <c r="J35" s="29"/>
      <c r="K35" s="6"/>
      <c r="L35" s="6"/>
      <c r="M35" s="6"/>
      <c r="N35" s="36"/>
      <c r="O35" s="6"/>
      <c r="P35" s="37"/>
      <c r="S35" s="38"/>
    </row>
    <row r="36" spans="1:46" ht="13" x14ac:dyDescent="0.3">
      <c r="A36" s="31"/>
      <c r="E36" s="6" t="s">
        <v>387</v>
      </c>
      <c r="F36" s="6"/>
      <c r="G36" s="6"/>
      <c r="H36" s="6"/>
      <c r="I36" s="6"/>
      <c r="J36" s="39"/>
      <c r="K36" s="39"/>
      <c r="L36" s="6"/>
      <c r="N36" s="39"/>
      <c r="O36" s="6"/>
      <c r="P36" s="6"/>
    </row>
    <row r="37" spans="1:46" ht="13" x14ac:dyDescent="0.3">
      <c r="A37" s="31"/>
      <c r="E37" s="29" t="s">
        <v>17</v>
      </c>
      <c r="F37" s="29"/>
      <c r="G37" s="29"/>
      <c r="H37" s="29"/>
      <c r="I37" s="29"/>
      <c r="J37" s="40"/>
      <c r="K37" s="6"/>
      <c r="L37" s="6"/>
      <c r="M37" s="12"/>
      <c r="N37" s="6"/>
      <c r="O37" s="6"/>
      <c r="P37" s="6"/>
      <c r="Q37" s="36"/>
      <c r="R37" s="6"/>
    </row>
    <row r="38" spans="1:46" x14ac:dyDescent="0.25">
      <c r="A38" s="31"/>
      <c r="E38" s="6" t="s">
        <v>18</v>
      </c>
      <c r="F38" s="6"/>
      <c r="G38" s="6"/>
      <c r="H38" s="6"/>
      <c r="I38" s="6"/>
      <c r="J38" s="41"/>
      <c r="K38" s="6"/>
      <c r="L38" s="6"/>
      <c r="M38" s="12"/>
      <c r="N38" s="6"/>
      <c r="O38" s="6"/>
      <c r="P38" s="6"/>
      <c r="Q38" s="36"/>
      <c r="R38" s="6"/>
    </row>
    <row r="39" spans="1:46" ht="13" x14ac:dyDescent="0.3">
      <c r="A39" s="31"/>
      <c r="D39" s="838"/>
      <c r="E39" s="29" t="s">
        <v>330</v>
      </c>
      <c r="F39" s="29"/>
      <c r="G39" s="29"/>
      <c r="H39" s="29"/>
      <c r="I39" s="29"/>
      <c r="J39" s="40"/>
      <c r="K39" s="29"/>
      <c r="L39" s="29"/>
      <c r="M39" s="863"/>
      <c r="N39" s="29"/>
      <c r="O39" s="29"/>
      <c r="P39" s="29"/>
      <c r="Q39" s="838"/>
      <c r="R39" s="838"/>
      <c r="S39" s="838"/>
      <c r="T39" s="838"/>
      <c r="U39" s="838"/>
      <c r="V39" s="838"/>
      <c r="W39" s="838"/>
    </row>
    <row r="40" spans="1:46" ht="13" x14ac:dyDescent="0.3">
      <c r="A40" s="31"/>
      <c r="D40" s="838"/>
      <c r="E40" s="29" t="s">
        <v>390</v>
      </c>
      <c r="F40" s="838"/>
      <c r="G40" s="838"/>
      <c r="H40" s="838"/>
      <c r="I40" s="29"/>
      <c r="J40" s="40"/>
      <c r="K40" s="29"/>
      <c r="L40" s="838"/>
      <c r="M40" s="838"/>
      <c r="N40" s="838"/>
      <c r="O40" s="29"/>
      <c r="P40" s="29"/>
      <c r="Q40" s="838"/>
      <c r="R40" s="838"/>
      <c r="S40" s="838"/>
      <c r="T40" s="838"/>
      <c r="U40" s="838"/>
      <c r="V40" s="838"/>
      <c r="W40" s="838"/>
    </row>
    <row r="41" spans="1:46" ht="13" x14ac:dyDescent="0.3">
      <c r="A41" s="31"/>
      <c r="D41" s="893"/>
      <c r="E41" s="29" t="s">
        <v>298</v>
      </c>
      <c r="F41" s="43"/>
      <c r="G41" s="893"/>
      <c r="H41" s="43"/>
      <c r="I41" s="43"/>
      <c r="J41" s="32"/>
      <c r="K41" s="32"/>
      <c r="L41" s="838"/>
      <c r="M41" s="838"/>
      <c r="N41" s="838"/>
      <c r="O41" s="29"/>
      <c r="P41" s="29"/>
      <c r="Q41" s="838"/>
      <c r="R41" s="838"/>
      <c r="S41" s="838"/>
      <c r="T41" s="838"/>
      <c r="U41" s="838"/>
      <c r="V41" s="838"/>
      <c r="W41" s="838"/>
    </row>
    <row r="42" spans="1:46" ht="14" x14ac:dyDescent="0.3">
      <c r="A42" s="31"/>
      <c r="D42" s="838"/>
      <c r="E42" s="29" t="s">
        <v>388</v>
      </c>
      <c r="F42" s="838"/>
      <c r="G42" s="838"/>
      <c r="H42" s="838"/>
      <c r="I42" s="29"/>
      <c r="J42" s="863"/>
      <c r="K42" s="29"/>
      <c r="L42" s="839"/>
      <c r="M42" s="45"/>
      <c r="N42" s="45"/>
      <c r="O42" s="839"/>
      <c r="P42" s="29"/>
      <c r="Q42" s="838"/>
      <c r="R42" s="838"/>
      <c r="S42" s="838"/>
      <c r="T42" s="838"/>
      <c r="U42" s="838"/>
      <c r="V42" s="838"/>
      <c r="W42" s="838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6" ht="13" x14ac:dyDescent="0.3">
      <c r="A43" s="31"/>
      <c r="D43" s="838"/>
      <c r="E43" s="29" t="s">
        <v>389</v>
      </c>
      <c r="F43" s="838"/>
      <c r="G43" s="838"/>
      <c r="H43" s="838"/>
      <c r="I43" s="29"/>
      <c r="J43" s="40"/>
      <c r="K43" s="40"/>
      <c r="L43" s="29"/>
      <c r="M43" s="838"/>
      <c r="N43" s="40"/>
      <c r="O43" s="29"/>
      <c r="P43" s="29"/>
      <c r="Q43" s="838"/>
      <c r="R43" s="838"/>
      <c r="S43" s="838"/>
      <c r="T43" s="838"/>
      <c r="U43" s="838"/>
      <c r="V43" s="838"/>
      <c r="W43" s="838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6" ht="15.5" x14ac:dyDescent="0.35">
      <c r="A44" s="31"/>
      <c r="C44" s="866" t="s">
        <v>391</v>
      </c>
      <c r="D44" s="838"/>
      <c r="F44" s="882"/>
      <c r="G44" s="882"/>
      <c r="H44" s="882"/>
      <c r="I44" s="29"/>
      <c r="J44" s="29"/>
      <c r="K44" s="882"/>
      <c r="L44" s="29"/>
      <c r="M44" s="882"/>
      <c r="N44" s="29"/>
      <c r="O44" s="29"/>
      <c r="P44" s="29"/>
      <c r="Q44" s="882"/>
      <c r="R44" s="882"/>
      <c r="S44" s="882"/>
      <c r="T44" s="882"/>
      <c r="U44" s="882"/>
      <c r="V44" s="882"/>
      <c r="W44" s="882"/>
      <c r="X44" s="48"/>
      <c r="Y44" s="49"/>
      <c r="Z44" s="49"/>
      <c r="AA44" s="49"/>
      <c r="AB44" s="50"/>
      <c r="AC44" s="49"/>
      <c r="AD44" s="49"/>
      <c r="AE44" s="49"/>
      <c r="AF44" s="49"/>
      <c r="AG44" s="49"/>
      <c r="AH44" s="49"/>
      <c r="AI44" s="49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6" ht="18.5" thickBot="1" x14ac:dyDescent="0.45">
      <c r="B45" s="6" t="s">
        <v>19</v>
      </c>
      <c r="I45" s="6"/>
      <c r="J45" s="39"/>
      <c r="K45" s="6"/>
      <c r="L45" s="6"/>
      <c r="M45" s="6"/>
      <c r="N45" s="51"/>
      <c r="O45" s="6"/>
      <c r="P45" s="6"/>
      <c r="W45" s="52"/>
      <c r="X45" s="838"/>
      <c r="Y45" s="838"/>
      <c r="Z45" s="53"/>
      <c r="AA45" s="863"/>
      <c r="AB45" s="839"/>
      <c r="AC45" s="838"/>
      <c r="AD45" s="838"/>
      <c r="AE45" s="838"/>
      <c r="AF45" s="838"/>
      <c r="AG45" s="838"/>
      <c r="AH45" s="838"/>
      <c r="AI45" s="838"/>
      <c r="AJ45" s="838"/>
      <c r="AK45" s="838"/>
      <c r="AL45" s="838"/>
      <c r="AM45" s="838"/>
      <c r="AN45" s="838"/>
      <c r="AO45" s="838"/>
      <c r="AP45" s="838"/>
      <c r="AQ45" s="838"/>
      <c r="AR45" s="838"/>
      <c r="AS45" s="838"/>
      <c r="AT45" s="838"/>
    </row>
    <row r="46" spans="1:46" ht="13" x14ac:dyDescent="0.3">
      <c r="A46" s="54" t="s">
        <v>14</v>
      </c>
      <c r="B46" s="21" t="s">
        <v>299</v>
      </c>
      <c r="C46" s="10"/>
      <c r="D46" s="10"/>
      <c r="E46" s="839" t="s">
        <v>15</v>
      </c>
      <c r="F46" s="860"/>
      <c r="G46" s="860"/>
      <c r="H46" s="839" t="s">
        <v>20</v>
      </c>
      <c r="I46" s="839"/>
      <c r="J46" s="43"/>
      <c r="K46" s="55" t="s">
        <v>21</v>
      </c>
      <c r="L46" s="56"/>
      <c r="M46" s="56"/>
      <c r="N46" s="56"/>
      <c r="O46" s="56"/>
      <c r="P46" s="57"/>
      <c r="Q46" s="58"/>
      <c r="R46" s="58"/>
      <c r="S46" s="58"/>
      <c r="T46" s="58"/>
      <c r="U46" s="58"/>
      <c r="V46" s="1096"/>
      <c r="W46" s="62" t="s">
        <v>22</v>
      </c>
      <c r="X46" s="1097"/>
      <c r="Y46" s="62" t="s">
        <v>22</v>
      </c>
      <c r="Z46" s="63"/>
      <c r="AA46" s="838"/>
      <c r="AB46" s="838"/>
      <c r="AC46" s="838"/>
      <c r="AD46" s="838"/>
      <c r="AE46" s="838"/>
      <c r="AF46" s="838"/>
      <c r="AG46" s="838"/>
      <c r="AH46" s="838"/>
      <c r="AI46" s="838"/>
      <c r="AJ46" s="838"/>
      <c r="AK46" s="838"/>
      <c r="AL46" s="838"/>
      <c r="AM46" s="838"/>
      <c r="AN46" s="838"/>
      <c r="AO46" s="838"/>
      <c r="AP46" s="838"/>
      <c r="AQ46" s="838"/>
      <c r="AR46" s="838"/>
      <c r="AS46" s="838"/>
      <c r="AT46" s="838"/>
    </row>
    <row r="47" spans="1:46" ht="13.5" thickBot="1" x14ac:dyDescent="0.35">
      <c r="A47" s="66" t="s">
        <v>376</v>
      </c>
      <c r="B47" s="838"/>
      <c r="C47" s="838"/>
      <c r="D47" s="28"/>
      <c r="E47" s="29" t="s">
        <v>434</v>
      </c>
      <c r="F47" s="882"/>
      <c r="G47" s="882"/>
      <c r="H47" s="882"/>
      <c r="I47" s="29"/>
      <c r="J47" s="29"/>
      <c r="K47" s="67" t="s">
        <v>23</v>
      </c>
      <c r="L47" s="68"/>
      <c r="M47" s="68"/>
      <c r="N47" s="68"/>
      <c r="O47" s="68"/>
      <c r="P47" s="68"/>
      <c r="Q47" s="892"/>
      <c r="R47" s="892"/>
      <c r="S47" s="892"/>
      <c r="T47" s="892"/>
      <c r="U47" s="892"/>
      <c r="V47" s="67" t="s">
        <v>407</v>
      </c>
      <c r="W47" s="29" t="s">
        <v>378</v>
      </c>
      <c r="X47" s="70"/>
      <c r="Y47" s="892"/>
      <c r="Z47" s="32"/>
      <c r="AA47" s="838"/>
      <c r="AB47" s="838"/>
      <c r="AC47" s="838"/>
      <c r="AD47" s="838"/>
      <c r="AE47" s="29"/>
      <c r="AF47" s="29"/>
      <c r="AG47" s="838"/>
      <c r="AH47" s="838"/>
      <c r="AI47" s="838"/>
      <c r="AJ47" s="838"/>
      <c r="AK47" s="838"/>
      <c r="AL47" s="838"/>
      <c r="AM47" s="838"/>
      <c r="AN47" s="838"/>
      <c r="AO47" s="838"/>
      <c r="AP47" s="838"/>
      <c r="AQ47" s="838"/>
      <c r="AR47" s="838"/>
      <c r="AS47" s="838"/>
      <c r="AT47" s="838"/>
    </row>
    <row r="48" spans="1:46" x14ac:dyDescent="0.25">
      <c r="A48" s="909"/>
      <c r="B48" s="838"/>
      <c r="C48" s="838"/>
      <c r="D48" s="838"/>
      <c r="E48" s="29" t="s">
        <v>324</v>
      </c>
      <c r="F48" s="29"/>
      <c r="G48" s="29"/>
      <c r="H48" s="29"/>
      <c r="I48" s="29"/>
      <c r="J48" s="29"/>
      <c r="K48" s="29"/>
      <c r="L48" s="29"/>
      <c r="M48" s="29"/>
      <c r="N48" s="32"/>
      <c r="O48" s="29"/>
      <c r="P48" s="29"/>
      <c r="Q48" s="882"/>
      <c r="R48" s="882"/>
      <c r="S48" s="882"/>
      <c r="T48" s="882"/>
      <c r="U48" s="882"/>
      <c r="V48" s="882"/>
      <c r="W48" s="882"/>
      <c r="X48" s="882"/>
      <c r="Y48" s="882"/>
      <c r="Z48" s="882"/>
      <c r="AA48" s="838"/>
      <c r="AB48" s="838"/>
      <c r="AC48" s="838"/>
      <c r="AD48" s="838"/>
      <c r="AE48" s="838"/>
      <c r="AF48" s="838"/>
      <c r="AG48" s="43"/>
      <c r="AH48" s="893"/>
      <c r="AI48" s="893"/>
      <c r="AJ48" s="893"/>
      <c r="AK48" s="43"/>
      <c r="AL48" s="43"/>
      <c r="AM48" s="43"/>
      <c r="AN48" s="838"/>
      <c r="AO48" s="838"/>
      <c r="AP48" s="838"/>
      <c r="AQ48" s="838"/>
      <c r="AR48" s="838"/>
      <c r="AS48" s="838"/>
      <c r="AT48" s="838"/>
    </row>
    <row r="49" spans="1:46" ht="13" x14ac:dyDescent="0.3">
      <c r="A49" s="73" t="s">
        <v>269</v>
      </c>
      <c r="B49" s="839"/>
      <c r="C49" s="838"/>
      <c r="D49" s="838"/>
      <c r="E49" s="29" t="s">
        <v>272</v>
      </c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838"/>
      <c r="R49" s="838"/>
      <c r="S49" s="838"/>
      <c r="T49" s="838"/>
      <c r="U49" s="838"/>
      <c r="V49" s="838"/>
      <c r="W49" s="838"/>
      <c r="X49" s="838"/>
      <c r="Y49" s="838"/>
      <c r="Z49" s="838"/>
      <c r="AA49" s="838"/>
      <c r="AB49" s="838"/>
      <c r="AC49" s="838"/>
      <c r="AD49" s="838"/>
      <c r="AE49" s="838"/>
      <c r="AF49" s="838"/>
      <c r="AG49" s="29"/>
      <c r="AH49" s="882"/>
      <c r="AI49" s="882"/>
      <c r="AJ49" s="882"/>
      <c r="AK49" s="29"/>
      <c r="AL49" s="29"/>
      <c r="AM49" s="882"/>
      <c r="AN49" s="838"/>
      <c r="AO49" s="838"/>
      <c r="AP49" s="838"/>
      <c r="AQ49" s="838"/>
      <c r="AR49" s="838"/>
      <c r="AS49" s="838"/>
      <c r="AT49" s="838"/>
    </row>
    <row r="50" spans="1:46" x14ac:dyDescent="0.25">
      <c r="A50" s="72"/>
      <c r="B50" s="838"/>
      <c r="C50" s="838"/>
      <c r="D50" s="838"/>
      <c r="E50" s="29" t="s">
        <v>319</v>
      </c>
      <c r="F50" s="29"/>
      <c r="G50" s="29"/>
      <c r="H50" s="29"/>
      <c r="I50" s="29"/>
      <c r="J50" s="29"/>
      <c r="K50" s="29"/>
      <c r="L50" s="29" t="s">
        <v>24</v>
      </c>
      <c r="M50" s="29"/>
      <c r="N50" s="32"/>
      <c r="O50" s="29"/>
      <c r="P50" s="29"/>
      <c r="Q50" s="838"/>
      <c r="R50" s="838"/>
      <c r="S50" s="838"/>
      <c r="T50" s="838"/>
      <c r="U50" s="838"/>
      <c r="V50" s="838"/>
      <c r="W50" s="838"/>
      <c r="X50" s="838"/>
      <c r="Y50" s="838"/>
      <c r="Z50" s="838"/>
      <c r="AA50" s="838"/>
      <c r="AB50" s="838"/>
      <c r="AC50" s="838"/>
      <c r="AD50" s="838"/>
      <c r="AE50" s="838"/>
      <c r="AF50" s="838"/>
      <c r="AG50" s="29"/>
      <c r="AH50" s="893"/>
      <c r="AI50" s="893"/>
      <c r="AJ50" s="893"/>
      <c r="AK50" s="43"/>
      <c r="AL50" s="43"/>
      <c r="AM50" s="43"/>
      <c r="AN50" s="838"/>
      <c r="AO50" s="838"/>
      <c r="AP50" s="838"/>
      <c r="AQ50" s="838"/>
      <c r="AR50" s="838"/>
      <c r="AS50" s="838"/>
      <c r="AT50" s="838"/>
    </row>
    <row r="51" spans="1:46" x14ac:dyDescent="0.25">
      <c r="A51" s="72"/>
      <c r="B51" s="838"/>
      <c r="C51" s="838"/>
      <c r="D51" s="838"/>
      <c r="E51" s="29" t="s">
        <v>25</v>
      </c>
      <c r="F51" s="29"/>
      <c r="G51" s="29"/>
      <c r="H51" s="29"/>
      <c r="I51" s="29"/>
      <c r="J51" s="29"/>
      <c r="K51" s="29"/>
      <c r="L51" s="29"/>
      <c r="M51" s="29"/>
      <c r="N51" s="32"/>
      <c r="O51" s="29"/>
      <c r="P51" s="29"/>
      <c r="Q51" s="838"/>
      <c r="R51" s="838"/>
      <c r="S51" s="838"/>
      <c r="T51" s="838"/>
      <c r="U51" s="838"/>
      <c r="V51" s="838"/>
      <c r="W51" s="838"/>
      <c r="X51" s="838"/>
      <c r="Y51" s="838"/>
      <c r="Z51" s="838"/>
      <c r="AA51" s="838"/>
      <c r="AB51" s="838"/>
      <c r="AC51" s="838"/>
      <c r="AD51" s="838"/>
      <c r="AE51" s="838"/>
      <c r="AF51" s="838"/>
      <c r="AG51" s="29"/>
      <c r="AH51" s="43"/>
      <c r="AI51" s="43"/>
      <c r="AJ51" s="43"/>
      <c r="AK51" s="43"/>
      <c r="AL51" s="43"/>
      <c r="AM51" s="43"/>
      <c r="AN51" s="838"/>
      <c r="AO51" s="838"/>
      <c r="AP51" s="838"/>
      <c r="AQ51" s="838"/>
      <c r="AR51" s="838"/>
      <c r="AS51" s="838"/>
      <c r="AT51" s="838"/>
    </row>
    <row r="52" spans="1:46" ht="13" x14ac:dyDescent="0.3">
      <c r="A52" s="73" t="s">
        <v>26</v>
      </c>
      <c r="B52" s="838"/>
      <c r="C52" s="838"/>
      <c r="D52" s="838"/>
      <c r="E52" s="29" t="s">
        <v>270</v>
      </c>
      <c r="F52" s="29"/>
      <c r="G52" s="29"/>
      <c r="H52" s="29"/>
      <c r="I52" s="29"/>
      <c r="J52" s="29"/>
      <c r="K52" s="29"/>
      <c r="L52" s="29"/>
      <c r="M52" s="29"/>
      <c r="N52" s="32"/>
      <c r="O52" s="29"/>
      <c r="P52" s="29"/>
      <c r="Q52" s="838"/>
      <c r="R52" s="838"/>
      <c r="S52" s="838"/>
      <c r="T52" s="838"/>
      <c r="U52" s="838"/>
      <c r="V52" s="838"/>
      <c r="W52" s="838"/>
      <c r="X52" s="838"/>
      <c r="Y52" s="838"/>
      <c r="Z52" s="838"/>
      <c r="AA52" s="838"/>
      <c r="AB52" s="838"/>
      <c r="AC52" s="838"/>
      <c r="AD52" s="838"/>
      <c r="AE52" s="838"/>
      <c r="AF52" s="838"/>
      <c r="AG52" s="29"/>
      <c r="AH52" s="43"/>
      <c r="AI52" s="43"/>
      <c r="AJ52" s="43"/>
      <c r="AK52" s="43"/>
      <c r="AL52" s="43"/>
      <c r="AM52" s="43"/>
      <c r="AN52" s="838"/>
      <c r="AO52" s="838"/>
      <c r="AP52" s="838"/>
      <c r="AQ52" s="838"/>
      <c r="AR52" s="838"/>
      <c r="AS52" s="838"/>
      <c r="AT52" s="838"/>
    </row>
    <row r="53" spans="1:46" x14ac:dyDescent="0.25">
      <c r="A53" s="72"/>
      <c r="B53" s="838"/>
      <c r="C53" s="838"/>
      <c r="D53" s="882"/>
      <c r="E53" s="29" t="s">
        <v>271</v>
      </c>
      <c r="F53" s="29"/>
      <c r="G53" s="29"/>
      <c r="H53" s="29"/>
      <c r="I53" s="29"/>
      <c r="J53" s="29"/>
      <c r="K53" s="29"/>
      <c r="L53" s="29"/>
      <c r="M53" s="29"/>
      <c r="N53" s="32"/>
      <c r="O53" s="29"/>
      <c r="P53" s="29"/>
      <c r="Q53" s="838"/>
      <c r="R53" s="838"/>
      <c r="S53" s="838"/>
      <c r="T53" s="838"/>
      <c r="U53" s="838"/>
      <c r="V53" s="838"/>
      <c r="W53" s="838"/>
      <c r="X53" s="838"/>
      <c r="Y53" s="838"/>
      <c r="Z53" s="838"/>
      <c r="AA53" s="838"/>
      <c r="AB53" s="838"/>
      <c r="AC53" s="838"/>
      <c r="AD53" s="838"/>
      <c r="AE53" s="838"/>
      <c r="AF53" s="838"/>
      <c r="AG53" s="29"/>
      <c r="AH53" s="29"/>
      <c r="AI53" s="29"/>
      <c r="AJ53" s="29"/>
      <c r="AK53" s="29"/>
      <c r="AL53" s="863"/>
      <c r="AM53" s="29"/>
      <c r="AN53" s="838"/>
      <c r="AO53" s="838"/>
      <c r="AP53" s="838"/>
      <c r="AQ53" s="838"/>
      <c r="AR53" s="838"/>
      <c r="AS53" s="838"/>
      <c r="AT53" s="838"/>
    </row>
    <row r="54" spans="1:46" x14ac:dyDescent="0.25">
      <c r="A54" s="72"/>
      <c r="B54" s="838"/>
      <c r="C54" s="838"/>
      <c r="D54" s="882"/>
      <c r="E54" s="29" t="s">
        <v>322</v>
      </c>
      <c r="F54" s="882"/>
      <c r="G54" s="882"/>
      <c r="H54" s="882"/>
      <c r="I54" s="29"/>
      <c r="J54" s="29"/>
      <c r="K54" s="29"/>
      <c r="L54" s="29"/>
      <c r="M54" s="29"/>
      <c r="N54" s="32"/>
      <c r="O54" s="29"/>
      <c r="P54" s="29"/>
      <c r="Q54" s="838"/>
      <c r="R54" s="838"/>
      <c r="S54" s="838"/>
      <c r="T54" s="838"/>
      <c r="U54" s="838"/>
      <c r="V54" s="838"/>
      <c r="W54" s="838"/>
      <c r="X54" s="838"/>
      <c r="Y54" s="838"/>
      <c r="Z54" s="838"/>
      <c r="AA54" s="838"/>
      <c r="AB54" s="838"/>
      <c r="AC54" s="838"/>
      <c r="AD54" s="838"/>
      <c r="AE54" s="838"/>
      <c r="AF54" s="838"/>
      <c r="AG54" s="29"/>
      <c r="AH54" s="29"/>
      <c r="AI54" s="29"/>
      <c r="AJ54" s="29"/>
      <c r="AK54" s="29"/>
      <c r="AL54" s="863"/>
      <c r="AM54" s="29"/>
      <c r="AN54" s="838"/>
      <c r="AO54" s="838"/>
      <c r="AP54" s="838"/>
      <c r="AQ54" s="838"/>
      <c r="AR54" s="838"/>
      <c r="AS54" s="838"/>
      <c r="AT54" s="838"/>
    </row>
    <row r="55" spans="1:46" x14ac:dyDescent="0.25">
      <c r="A55" s="909"/>
      <c r="B55" s="838"/>
      <c r="C55" s="838"/>
      <c r="D55" s="882"/>
      <c r="E55" s="29" t="s">
        <v>331</v>
      </c>
      <c r="F55" s="882"/>
      <c r="G55" s="882"/>
      <c r="H55" s="882"/>
      <c r="I55" s="29"/>
      <c r="J55" s="29"/>
      <c r="K55" s="29"/>
      <c r="L55" s="29"/>
      <c r="M55" s="29"/>
      <c r="N55" s="32"/>
      <c r="O55" s="29"/>
      <c r="P55" s="29"/>
      <c r="Q55" s="838"/>
      <c r="R55" s="838"/>
      <c r="S55" s="838"/>
      <c r="T55" s="838"/>
      <c r="U55" s="838"/>
      <c r="V55" s="838"/>
      <c r="W55" s="838"/>
      <c r="X55" s="838"/>
      <c r="Y55" s="838"/>
      <c r="Z55" s="838"/>
      <c r="AA55" s="838"/>
      <c r="AB55" s="838"/>
      <c r="AC55" s="838"/>
      <c r="AD55" s="838"/>
      <c r="AE55" s="838"/>
      <c r="AF55" s="838"/>
      <c r="AG55" s="43"/>
      <c r="AH55" s="43"/>
      <c r="AI55" s="43"/>
      <c r="AJ55" s="29"/>
      <c r="AK55" s="29"/>
      <c r="AL55" s="29"/>
      <c r="AM55" s="29"/>
      <c r="AN55" s="838"/>
      <c r="AO55" s="838"/>
      <c r="AP55" s="838"/>
      <c r="AQ55" s="838"/>
      <c r="AR55" s="838"/>
      <c r="AS55" s="838"/>
      <c r="AT55" s="838"/>
    </row>
    <row r="56" spans="1:46" ht="13" thickBot="1" x14ac:dyDescent="0.3">
      <c r="A56" s="74"/>
      <c r="B56" s="838"/>
      <c r="C56" s="838"/>
      <c r="D56" s="838"/>
      <c r="E56" s="29" t="s">
        <v>320</v>
      </c>
      <c r="F56" s="29"/>
      <c r="G56" s="29"/>
      <c r="H56" s="29"/>
      <c r="I56" s="29"/>
      <c r="K56" s="29" t="s">
        <v>27</v>
      </c>
      <c r="L56" s="29"/>
      <c r="M56" s="29"/>
      <c r="N56" s="29"/>
      <c r="O56" s="29"/>
      <c r="P56" s="32"/>
      <c r="Q56" s="29"/>
      <c r="R56" s="75"/>
      <c r="S56" s="838"/>
      <c r="T56" s="838"/>
      <c r="U56" s="838"/>
      <c r="W56" s="838"/>
      <c r="X56" s="838"/>
      <c r="Y56" s="838"/>
      <c r="Z56" s="838"/>
      <c r="AA56" s="838"/>
      <c r="AB56" s="838"/>
      <c r="AC56" s="838"/>
      <c r="AD56" s="838"/>
      <c r="AE56" s="838"/>
      <c r="AF56" s="838"/>
      <c r="AG56" s="29"/>
      <c r="AH56" s="838"/>
      <c r="AI56" s="838"/>
      <c r="AJ56" s="29"/>
      <c r="AK56" s="29"/>
      <c r="AL56" s="863"/>
      <c r="AM56" s="29"/>
      <c r="AN56" s="838"/>
      <c r="AO56" s="838"/>
      <c r="AP56" s="838"/>
      <c r="AQ56" s="838"/>
      <c r="AR56" s="838"/>
      <c r="AS56" s="838"/>
      <c r="AT56" s="838"/>
    </row>
    <row r="57" spans="1:46" ht="16" thickBot="1" x14ac:dyDescent="0.4">
      <c r="C57" s="76" t="s">
        <v>383</v>
      </c>
      <c r="F57" s="46"/>
      <c r="G57" s="46"/>
      <c r="H57" s="46"/>
      <c r="I57" s="77"/>
      <c r="J57" s="77"/>
      <c r="K57" s="77"/>
      <c r="L57" s="77"/>
      <c r="M57" s="77"/>
      <c r="N57" s="78"/>
      <c r="O57" s="79"/>
      <c r="P57" s="77"/>
      <c r="Q57" s="46"/>
      <c r="R57" s="80"/>
      <c r="S57" s="81"/>
      <c r="T57" s="82"/>
      <c r="U57" s="82"/>
      <c r="V57" s="82"/>
      <c r="W57" s="82"/>
      <c r="X57" s="82"/>
      <c r="Y57" s="83"/>
      <c r="Z57" s="35"/>
      <c r="AA57" s="838"/>
      <c r="AB57" s="838"/>
      <c r="AC57" s="838"/>
      <c r="AD57" s="838"/>
      <c r="AE57" s="838"/>
      <c r="AF57" s="838"/>
      <c r="AG57" s="29"/>
      <c r="AH57" s="29"/>
      <c r="AI57" s="863"/>
      <c r="AJ57" s="29"/>
      <c r="AK57" s="29"/>
      <c r="AL57" s="32"/>
      <c r="AM57" s="32"/>
      <c r="AN57" s="838"/>
      <c r="AO57" s="838"/>
      <c r="AP57" s="838"/>
      <c r="AQ57" s="838"/>
      <c r="AR57" s="838"/>
      <c r="AS57" s="838"/>
      <c r="AT57" s="838"/>
    </row>
    <row r="58" spans="1:46" ht="16" thickBot="1" x14ac:dyDescent="0.4">
      <c r="E58" s="76"/>
      <c r="F58" s="84"/>
      <c r="G58" s="84"/>
      <c r="H58" s="84"/>
      <c r="I58" s="77"/>
      <c r="J58" s="6"/>
      <c r="K58" s="6"/>
      <c r="L58" s="6"/>
      <c r="M58" s="6"/>
      <c r="N58" s="36"/>
      <c r="O58" s="37"/>
      <c r="P58" s="6"/>
      <c r="Q58" s="14"/>
      <c r="R58" s="85"/>
      <c r="S58" s="86"/>
      <c r="T58" s="87"/>
      <c r="U58" s="87"/>
      <c r="V58" s="87"/>
      <c r="W58" s="87"/>
      <c r="X58" s="87"/>
      <c r="Y58" s="14"/>
      <c r="Z58" s="882"/>
      <c r="AA58" s="838"/>
      <c r="AB58" s="838"/>
      <c r="AC58" s="838"/>
      <c r="AD58" s="838"/>
      <c r="AE58" s="838"/>
      <c r="AF58" s="838"/>
      <c r="AG58" s="29"/>
      <c r="AH58" s="29"/>
      <c r="AI58" s="863"/>
      <c r="AJ58" s="29"/>
      <c r="AK58" s="29"/>
      <c r="AL58" s="32"/>
      <c r="AM58" s="32"/>
      <c r="AN58" s="838"/>
      <c r="AO58" s="838"/>
      <c r="AP58" s="838"/>
      <c r="AQ58" s="838"/>
      <c r="AR58" s="838"/>
      <c r="AS58" s="838"/>
      <c r="AT58" s="838"/>
    </row>
    <row r="59" spans="1:46" ht="13" x14ac:dyDescent="0.3">
      <c r="A59" s="54" t="s">
        <v>14</v>
      </c>
      <c r="B59" s="21" t="s">
        <v>300</v>
      </c>
      <c r="C59" s="10"/>
      <c r="D59" s="10"/>
      <c r="E59" s="839" t="s">
        <v>15</v>
      </c>
      <c r="F59" s="882"/>
      <c r="G59" s="882"/>
      <c r="H59" s="839" t="s">
        <v>28</v>
      </c>
      <c r="I59" s="29"/>
      <c r="J59" s="29"/>
      <c r="K59" s="55" t="s">
        <v>21</v>
      </c>
      <c r="L59" s="56"/>
      <c r="M59" s="56"/>
      <c r="N59" s="56"/>
      <c r="O59" s="56"/>
      <c r="P59" s="57"/>
      <c r="Q59" s="60"/>
      <c r="R59" s="60"/>
      <c r="S59" s="60"/>
      <c r="T59" s="60"/>
      <c r="U59" s="60"/>
      <c r="V59" s="60"/>
      <c r="W59" s="60" t="s">
        <v>29</v>
      </c>
      <c r="X59" s="61"/>
      <c r="Y59" s="14"/>
      <c r="Z59" s="882"/>
      <c r="AA59" s="838"/>
      <c r="AB59" s="838"/>
      <c r="AC59" s="838"/>
      <c r="AD59" s="838"/>
      <c r="AE59" s="838"/>
      <c r="AF59" s="838"/>
      <c r="AG59" s="29"/>
      <c r="AH59" s="29"/>
      <c r="AI59" s="863"/>
      <c r="AJ59" s="29"/>
      <c r="AK59" s="29"/>
      <c r="AL59" s="32"/>
      <c r="AM59" s="32"/>
      <c r="AN59" s="838"/>
      <c r="AO59" s="838"/>
      <c r="AP59" s="838"/>
      <c r="AQ59" s="838"/>
      <c r="AR59" s="838"/>
      <c r="AS59" s="838"/>
      <c r="AT59" s="838"/>
    </row>
    <row r="60" spans="1:46" ht="13.5" thickBot="1" x14ac:dyDescent="0.35">
      <c r="A60" s="66" t="s">
        <v>377</v>
      </c>
      <c r="B60" s="838"/>
      <c r="C60" s="838"/>
      <c r="D60" s="28"/>
      <c r="E60" s="29" t="s">
        <v>381</v>
      </c>
      <c r="F60" s="882"/>
      <c r="G60" s="882"/>
      <c r="H60" s="882"/>
      <c r="I60" s="29"/>
      <c r="J60" s="29"/>
      <c r="K60" s="67" t="s">
        <v>23</v>
      </c>
      <c r="L60" s="68"/>
      <c r="M60" s="68"/>
      <c r="N60" s="68"/>
      <c r="O60" s="68"/>
      <c r="P60" s="68"/>
      <c r="Q60" s="892"/>
      <c r="R60" s="892"/>
      <c r="S60" s="892"/>
      <c r="T60" s="892"/>
      <c r="U60" s="892"/>
      <c r="V60" s="892" t="s">
        <v>408</v>
      </c>
      <c r="W60" s="29" t="s">
        <v>379</v>
      </c>
      <c r="X60" s="88"/>
      <c r="Y60" s="14"/>
      <c r="Z60" s="882"/>
      <c r="AA60" s="838"/>
      <c r="AB60" s="838"/>
      <c r="AC60" s="838"/>
      <c r="AD60" s="838"/>
      <c r="AE60" s="838"/>
      <c r="AF60" s="838"/>
      <c r="AG60" s="29"/>
      <c r="AH60" s="29"/>
      <c r="AI60" s="863"/>
      <c r="AJ60" s="29"/>
      <c r="AK60" s="29"/>
      <c r="AL60" s="32"/>
      <c r="AM60" s="32"/>
      <c r="AN60" s="838"/>
      <c r="AO60" s="838"/>
      <c r="AP60" s="838"/>
      <c r="AQ60" s="838"/>
      <c r="AR60" s="838"/>
      <c r="AS60" s="838"/>
      <c r="AT60" s="838"/>
    </row>
    <row r="61" spans="1:46" x14ac:dyDescent="0.25">
      <c r="A61" s="72"/>
      <c r="B61" s="838"/>
      <c r="C61" s="838"/>
      <c r="D61" s="838"/>
      <c r="E61" s="29" t="s">
        <v>325</v>
      </c>
      <c r="F61" s="29"/>
      <c r="G61" s="29"/>
      <c r="H61" s="29"/>
      <c r="I61" s="29"/>
      <c r="J61" s="29"/>
      <c r="K61" s="29"/>
      <c r="L61" s="29"/>
      <c r="M61" s="29"/>
      <c r="N61" s="32"/>
      <c r="O61" s="29"/>
      <c r="P61" s="29"/>
      <c r="Q61" s="882"/>
      <c r="R61" s="882"/>
      <c r="S61" s="882"/>
      <c r="T61" s="882"/>
      <c r="U61" s="882"/>
      <c r="V61" s="882"/>
      <c r="W61" s="882"/>
      <c r="X61" s="882"/>
      <c r="Y61" s="14"/>
      <c r="Z61" s="882"/>
      <c r="AA61" s="838"/>
      <c r="AB61" s="838"/>
      <c r="AC61" s="838"/>
      <c r="AD61" s="838"/>
      <c r="AE61" s="838"/>
      <c r="AF61" s="838"/>
      <c r="AG61" s="29"/>
      <c r="AH61" s="29"/>
      <c r="AI61" s="863"/>
      <c r="AJ61" s="29"/>
      <c r="AK61" s="29"/>
      <c r="AL61" s="32"/>
      <c r="AM61" s="32"/>
      <c r="AN61" s="838"/>
      <c r="AO61" s="838"/>
      <c r="AP61" s="838"/>
      <c r="AQ61" s="838"/>
      <c r="AR61" s="838"/>
      <c r="AS61" s="838"/>
      <c r="AT61" s="838"/>
    </row>
    <row r="62" spans="1:46" x14ac:dyDescent="0.25">
      <c r="A62" s="909"/>
      <c r="B62" s="893"/>
      <c r="C62" s="838"/>
      <c r="D62" s="838"/>
      <c r="E62" s="29" t="s">
        <v>30</v>
      </c>
      <c r="F62" s="29"/>
      <c r="G62" s="29"/>
      <c r="H62" s="29"/>
      <c r="I62" s="29"/>
      <c r="J62" s="29"/>
      <c r="K62" s="29"/>
      <c r="L62" s="29"/>
      <c r="M62" s="29"/>
      <c r="N62" s="32"/>
      <c r="O62" s="29"/>
      <c r="P62" s="29"/>
      <c r="Q62" s="882"/>
      <c r="R62" s="882"/>
      <c r="S62" s="882"/>
      <c r="T62" s="882"/>
      <c r="U62" s="882"/>
      <c r="V62" s="882"/>
      <c r="W62" s="882"/>
      <c r="X62" s="882"/>
      <c r="Y62" s="14"/>
      <c r="Z62" s="882"/>
      <c r="AA62" s="838"/>
      <c r="AB62" s="838"/>
      <c r="AC62" s="838"/>
      <c r="AD62" s="838"/>
      <c r="AE62" s="838"/>
      <c r="AF62" s="838"/>
      <c r="AG62" s="29"/>
      <c r="AH62" s="29"/>
      <c r="AI62" s="863"/>
      <c r="AJ62" s="29"/>
      <c r="AK62" s="29"/>
      <c r="AL62" s="32"/>
      <c r="AM62" s="32"/>
      <c r="AN62" s="838"/>
      <c r="AO62" s="838"/>
      <c r="AP62" s="838"/>
      <c r="AQ62" s="838"/>
      <c r="AR62" s="838"/>
      <c r="AS62" s="838"/>
      <c r="AT62" s="838"/>
    </row>
    <row r="63" spans="1:46" x14ac:dyDescent="0.25">
      <c r="A63" s="909"/>
      <c r="B63" s="838"/>
      <c r="C63" s="838"/>
      <c r="D63" s="838"/>
      <c r="E63" s="29" t="s">
        <v>321</v>
      </c>
      <c r="F63" s="838"/>
      <c r="G63" s="838"/>
      <c r="H63" s="838"/>
      <c r="I63" s="29"/>
      <c r="J63" s="863"/>
      <c r="K63" s="29"/>
      <c r="L63" s="29"/>
      <c r="M63" s="29"/>
      <c r="N63" s="32"/>
      <c r="O63" s="29"/>
      <c r="P63" s="29"/>
      <c r="Q63" s="882"/>
      <c r="R63" s="882"/>
      <c r="S63" s="882"/>
      <c r="T63" s="882"/>
      <c r="U63" s="882"/>
      <c r="V63" s="882"/>
      <c r="W63" s="882"/>
      <c r="X63" s="882"/>
      <c r="Y63" s="14"/>
      <c r="Z63" s="882"/>
      <c r="AA63" s="838"/>
      <c r="AB63" s="838"/>
      <c r="AC63" s="838"/>
      <c r="AD63" s="838"/>
      <c r="AE63" s="838"/>
      <c r="AF63" s="838"/>
      <c r="AG63" s="29"/>
      <c r="AH63" s="29"/>
      <c r="AI63" s="863"/>
      <c r="AJ63" s="29"/>
      <c r="AK63" s="29"/>
      <c r="AL63" s="32"/>
      <c r="AM63" s="32"/>
      <c r="AN63" s="838"/>
      <c r="AO63" s="838"/>
      <c r="AP63" s="838"/>
      <c r="AQ63" s="838"/>
      <c r="AR63" s="838"/>
      <c r="AS63" s="838"/>
      <c r="AT63" s="838"/>
    </row>
    <row r="64" spans="1:46" x14ac:dyDescent="0.25">
      <c r="A64" s="72"/>
      <c r="B64" s="838"/>
      <c r="C64" s="838"/>
      <c r="D64" s="838"/>
      <c r="E64" s="29" t="s">
        <v>31</v>
      </c>
      <c r="F64" s="29"/>
      <c r="G64" s="29"/>
      <c r="H64" s="29"/>
      <c r="I64" s="29"/>
      <c r="J64" s="29"/>
      <c r="K64" s="29"/>
      <c r="L64" s="29" t="s">
        <v>24</v>
      </c>
      <c r="M64" s="29"/>
      <c r="N64" s="32"/>
      <c r="O64" s="29"/>
      <c r="P64" s="29"/>
      <c r="Q64" s="882"/>
      <c r="R64" s="882"/>
      <c r="S64" s="882"/>
      <c r="T64" s="882"/>
      <c r="U64" s="882"/>
      <c r="V64" s="882"/>
      <c r="W64" s="882"/>
      <c r="X64" s="882"/>
      <c r="Y64" s="14"/>
      <c r="Z64" s="882"/>
      <c r="AA64" s="838"/>
      <c r="AB64" s="838"/>
      <c r="AC64" s="838"/>
      <c r="AD64" s="838"/>
      <c r="AE64" s="838"/>
      <c r="AF64" s="838"/>
      <c r="AG64" s="29"/>
      <c r="AH64" s="29"/>
      <c r="AI64" s="863"/>
      <c r="AJ64" s="29"/>
      <c r="AK64" s="29"/>
      <c r="AL64" s="32"/>
      <c r="AM64" s="32"/>
      <c r="AN64" s="838"/>
      <c r="AO64" s="838"/>
      <c r="AP64" s="838"/>
      <c r="AQ64" s="838"/>
      <c r="AR64" s="838"/>
      <c r="AS64" s="838"/>
      <c r="AT64" s="838"/>
    </row>
    <row r="65" spans="1:46" x14ac:dyDescent="0.25">
      <c r="A65" s="72"/>
      <c r="B65" s="838"/>
      <c r="C65" s="838"/>
      <c r="D65" s="838"/>
      <c r="E65" s="29" t="s">
        <v>25</v>
      </c>
      <c r="F65" s="29"/>
      <c r="G65" s="29"/>
      <c r="H65" s="29"/>
      <c r="I65" s="29"/>
      <c r="J65" s="29"/>
      <c r="K65" s="29"/>
      <c r="L65" s="29"/>
      <c r="M65" s="29"/>
      <c r="N65" s="32"/>
      <c r="O65" s="29"/>
      <c r="P65" s="29"/>
      <c r="Q65" s="882"/>
      <c r="R65" s="882"/>
      <c r="S65" s="882"/>
      <c r="T65" s="882"/>
      <c r="U65" s="882"/>
      <c r="V65" s="882"/>
      <c r="W65" s="882"/>
      <c r="X65" s="882"/>
      <c r="Y65" s="14"/>
      <c r="Z65" s="882"/>
      <c r="AA65" s="838"/>
      <c r="AB65" s="838"/>
      <c r="AC65" s="838"/>
      <c r="AD65" s="838"/>
      <c r="AE65" s="838"/>
      <c r="AF65" s="838"/>
      <c r="AG65" s="29"/>
      <c r="AH65" s="29"/>
      <c r="AI65" s="863"/>
      <c r="AJ65" s="29"/>
      <c r="AK65" s="29"/>
      <c r="AL65" s="32"/>
      <c r="AM65" s="32"/>
      <c r="AN65" s="838"/>
      <c r="AO65" s="838"/>
      <c r="AP65" s="838"/>
      <c r="AQ65" s="838"/>
      <c r="AR65" s="838"/>
      <c r="AS65" s="838"/>
      <c r="AT65" s="838"/>
    </row>
    <row r="66" spans="1:46" x14ac:dyDescent="0.25">
      <c r="A66" s="72"/>
      <c r="B66" s="838"/>
      <c r="C66" s="838"/>
      <c r="D66" s="838"/>
      <c r="E66" s="29" t="s">
        <v>323</v>
      </c>
      <c r="F66" s="29"/>
      <c r="G66" s="29"/>
      <c r="H66" s="29"/>
      <c r="I66" s="29"/>
      <c r="J66" s="29"/>
      <c r="K66" s="29"/>
      <c r="L66" s="29"/>
      <c r="M66" s="29"/>
      <c r="N66" s="32"/>
      <c r="O66" s="29"/>
      <c r="P66" s="29"/>
      <c r="Q66" s="882"/>
      <c r="R66" s="882"/>
      <c r="S66" s="882"/>
      <c r="T66" s="882"/>
      <c r="U66" s="882"/>
      <c r="V66" s="882"/>
      <c r="W66" s="882"/>
      <c r="X66" s="882"/>
      <c r="Y66" s="14"/>
      <c r="Z66" s="882"/>
      <c r="AA66" s="838"/>
      <c r="AB66" s="838"/>
      <c r="AC66" s="838"/>
      <c r="AD66" s="838"/>
      <c r="AE66" s="838"/>
      <c r="AF66" s="838"/>
      <c r="AG66" s="29"/>
      <c r="AH66" s="29"/>
      <c r="AI66" s="863"/>
      <c r="AJ66" s="29"/>
      <c r="AK66" s="29"/>
      <c r="AL66" s="32"/>
      <c r="AM66" s="32"/>
      <c r="AN66" s="838"/>
      <c r="AO66" s="838"/>
      <c r="AP66" s="838"/>
      <c r="AQ66" s="838"/>
      <c r="AR66" s="838"/>
      <c r="AS66" s="838"/>
      <c r="AT66" s="838"/>
    </row>
    <row r="67" spans="1:46" ht="13" x14ac:dyDescent="0.3">
      <c r="A67" s="73" t="s">
        <v>26</v>
      </c>
      <c r="B67" s="838"/>
      <c r="C67" s="838"/>
      <c r="D67" s="838"/>
      <c r="E67" s="29" t="s">
        <v>32</v>
      </c>
      <c r="F67" s="29"/>
      <c r="G67" s="29"/>
      <c r="H67" s="29"/>
      <c r="I67" s="29"/>
      <c r="J67" s="29"/>
      <c r="K67" s="29"/>
      <c r="L67" s="29"/>
      <c r="M67" s="29"/>
      <c r="N67" s="32"/>
      <c r="O67" s="29"/>
      <c r="P67" s="29"/>
      <c r="Q67" s="882"/>
      <c r="R67" s="882"/>
      <c r="S67" s="882"/>
      <c r="T67" s="882"/>
      <c r="U67" s="882"/>
      <c r="V67" s="882"/>
      <c r="W67" s="882"/>
      <c r="X67" s="882"/>
      <c r="Y67" s="14"/>
      <c r="Z67" s="882"/>
      <c r="AA67" s="838"/>
      <c r="AB67" s="838"/>
      <c r="AC67" s="838"/>
      <c r="AD67" s="838"/>
      <c r="AE67" s="838"/>
      <c r="AF67" s="838"/>
      <c r="AG67" s="29"/>
      <c r="AH67" s="29"/>
      <c r="AI67" s="863"/>
      <c r="AJ67" s="29"/>
      <c r="AK67" s="29"/>
      <c r="AL67" s="32"/>
      <c r="AM67" s="32"/>
      <c r="AN67" s="838"/>
      <c r="AO67" s="838"/>
      <c r="AP67" s="838"/>
      <c r="AQ67" s="838"/>
      <c r="AR67" s="838"/>
      <c r="AS67" s="838"/>
      <c r="AT67" s="838"/>
    </row>
    <row r="68" spans="1:46" x14ac:dyDescent="0.25">
      <c r="A68" s="72"/>
      <c r="B68" s="838"/>
      <c r="C68" s="838"/>
      <c r="D68" s="882"/>
      <c r="E68" s="29" t="s">
        <v>380</v>
      </c>
      <c r="F68" s="882"/>
      <c r="G68" s="882"/>
      <c r="H68" s="882"/>
      <c r="I68" s="29"/>
      <c r="J68" s="29"/>
      <c r="K68" s="29"/>
      <c r="L68" s="29"/>
      <c r="M68" s="29"/>
      <c r="N68" s="32"/>
      <c r="O68" s="29"/>
      <c r="P68" s="29"/>
      <c r="Q68" s="882"/>
      <c r="R68" s="882"/>
      <c r="S68" s="882"/>
      <c r="T68" s="882"/>
      <c r="U68" s="882"/>
      <c r="V68" s="882"/>
      <c r="W68" s="882"/>
      <c r="X68" s="882"/>
      <c r="Y68" s="14"/>
      <c r="Z68" s="882"/>
      <c r="AA68" s="838"/>
      <c r="AB68" s="838"/>
      <c r="AC68" s="838"/>
      <c r="AD68" s="838"/>
      <c r="AE68" s="838"/>
      <c r="AF68" s="838"/>
      <c r="AG68" s="29"/>
      <c r="AH68" s="29"/>
      <c r="AI68" s="863"/>
      <c r="AJ68" s="29"/>
      <c r="AK68" s="29"/>
      <c r="AL68" s="32"/>
      <c r="AM68" s="32"/>
      <c r="AN68" s="838"/>
      <c r="AO68" s="838"/>
      <c r="AP68" s="838"/>
      <c r="AQ68" s="838"/>
      <c r="AR68" s="838"/>
      <c r="AS68" s="838"/>
      <c r="AT68" s="838"/>
    </row>
    <row r="69" spans="1:46" ht="13" thickBot="1" x14ac:dyDescent="0.3">
      <c r="A69" s="72"/>
      <c r="B69" s="838"/>
      <c r="C69" s="838"/>
      <c r="D69" s="882"/>
      <c r="E69" s="29" t="s">
        <v>331</v>
      </c>
      <c r="F69" s="882"/>
      <c r="G69" s="882"/>
      <c r="H69" s="882"/>
      <c r="I69" s="29"/>
      <c r="J69" s="29"/>
      <c r="K69" s="29"/>
      <c r="L69" s="29"/>
      <c r="M69" s="29"/>
      <c r="N69" s="32"/>
      <c r="O69" s="29"/>
      <c r="P69" s="29"/>
      <c r="Q69" s="882"/>
      <c r="R69" s="882"/>
      <c r="S69" s="882"/>
      <c r="T69" s="882"/>
      <c r="U69" s="882"/>
      <c r="V69" s="51"/>
      <c r="W69" s="885"/>
      <c r="X69" s="885"/>
      <c r="Y69" s="14"/>
      <c r="Z69" s="882"/>
      <c r="AA69" s="838"/>
      <c r="AB69" s="838"/>
      <c r="AC69" s="838"/>
      <c r="AD69" s="838"/>
      <c r="AE69" s="838"/>
      <c r="AF69" s="838"/>
      <c r="AG69" s="29"/>
      <c r="AH69" s="29"/>
      <c r="AI69" s="863"/>
      <c r="AJ69" s="29"/>
      <c r="AK69" s="29"/>
      <c r="AL69" s="32"/>
      <c r="AM69" s="32"/>
      <c r="AN69" s="838"/>
      <c r="AO69" s="838"/>
      <c r="AP69" s="838"/>
      <c r="AQ69" s="838"/>
      <c r="AR69" s="838"/>
      <c r="AS69" s="838"/>
      <c r="AT69" s="838"/>
    </row>
    <row r="70" spans="1:46" ht="16.5" customHeight="1" x14ac:dyDescent="0.35">
      <c r="A70" s="909"/>
      <c r="B70" s="838"/>
      <c r="C70" s="76" t="s">
        <v>382</v>
      </c>
      <c r="D70" s="882"/>
      <c r="F70" s="84"/>
      <c r="G70" s="84"/>
      <c r="H70" s="84"/>
      <c r="I70" s="77"/>
      <c r="J70" s="77"/>
      <c r="K70" s="77"/>
      <c r="L70" s="77"/>
      <c r="M70" s="77"/>
      <c r="N70" s="78"/>
      <c r="O70" s="79"/>
      <c r="P70" s="77"/>
      <c r="Q70" s="84"/>
      <c r="R70" s="89"/>
      <c r="S70" s="81"/>
      <c r="T70" s="90"/>
      <c r="U70" s="90"/>
      <c r="V70" s="91"/>
      <c r="W70" s="91"/>
      <c r="X70" s="91"/>
      <c r="Y70" s="91"/>
      <c r="Z70" s="885"/>
      <c r="AA70" s="885"/>
      <c r="AB70" s="882"/>
      <c r="AC70" s="882"/>
      <c r="AD70" s="838"/>
      <c r="AE70" s="838"/>
      <c r="AF70" s="838"/>
      <c r="AG70" s="29"/>
      <c r="AH70" s="43"/>
      <c r="AI70" s="43"/>
      <c r="AJ70" s="43"/>
      <c r="AK70" s="43"/>
      <c r="AL70" s="43"/>
      <c r="AM70" s="32"/>
      <c r="AN70" s="838"/>
      <c r="AO70" s="838"/>
      <c r="AP70" s="838"/>
      <c r="AQ70" s="838"/>
      <c r="AR70" s="838"/>
      <c r="AS70" s="838"/>
      <c r="AT70" s="838"/>
    </row>
    <row r="71" spans="1:46" ht="15.5" hidden="1" x14ac:dyDescent="0.35">
      <c r="A71" s="74"/>
      <c r="B71" s="838"/>
      <c r="C71" s="838"/>
      <c r="D71" s="838"/>
      <c r="E71" s="76" t="s">
        <v>34</v>
      </c>
      <c r="F71" s="84"/>
      <c r="G71" s="84"/>
      <c r="H71" s="84"/>
      <c r="I71" s="77"/>
      <c r="J71" s="29"/>
      <c r="K71" s="29"/>
      <c r="L71" s="29"/>
      <c r="M71" s="29"/>
      <c r="N71" s="32"/>
      <c r="O71" s="29"/>
      <c r="P71" s="29"/>
      <c r="Q71" s="882"/>
      <c r="R71" s="882"/>
      <c r="S71" s="882"/>
      <c r="T71" s="882"/>
      <c r="U71" s="882"/>
      <c r="V71" s="882"/>
      <c r="W71" s="882"/>
      <c r="X71" s="76"/>
      <c r="Y71" s="838"/>
      <c r="Z71" s="838"/>
      <c r="AA71" s="838"/>
      <c r="AB71" s="29"/>
      <c r="AC71" s="29"/>
      <c r="AD71" s="29"/>
      <c r="AE71" s="838"/>
      <c r="AF71" s="838"/>
      <c r="AG71" s="29"/>
      <c r="AH71" s="893"/>
      <c r="AI71" s="893"/>
      <c r="AJ71" s="893"/>
      <c r="AK71" s="43"/>
      <c r="AL71" s="893"/>
      <c r="AM71" s="43"/>
      <c r="AN71" s="838"/>
      <c r="AO71" s="838"/>
      <c r="AP71" s="838"/>
      <c r="AQ71" s="838"/>
      <c r="AR71" s="838"/>
      <c r="AS71" s="838"/>
      <c r="AT71" s="838"/>
    </row>
    <row r="72" spans="1:46" ht="15.5" hidden="1" x14ac:dyDescent="0.35">
      <c r="E72" s="76" t="s">
        <v>35</v>
      </c>
      <c r="F72" s="84"/>
      <c r="G72" s="84"/>
      <c r="H72" s="84"/>
      <c r="I72" s="77"/>
      <c r="J72" s="6"/>
      <c r="K72" s="6"/>
      <c r="L72" s="6"/>
      <c r="M72" s="6"/>
      <c r="N72" s="36"/>
      <c r="O72" s="37"/>
      <c r="P72" s="6"/>
      <c r="Q72" s="14"/>
      <c r="R72" s="92"/>
      <c r="S72" s="86"/>
      <c r="T72" s="93"/>
      <c r="U72" s="93"/>
      <c r="V72" s="87"/>
      <c r="W72" s="87"/>
      <c r="X72" s="87"/>
      <c r="Z72" s="838"/>
      <c r="AA72" s="838"/>
      <c r="AB72" s="838"/>
      <c r="AC72" s="838"/>
      <c r="AD72" s="838"/>
      <c r="AE72" s="838"/>
      <c r="AF72" s="838"/>
      <c r="AG72" s="29"/>
      <c r="AH72" s="838"/>
      <c r="AI72" s="838"/>
      <c r="AJ72" s="838"/>
      <c r="AK72" s="29"/>
      <c r="AL72" s="863"/>
      <c r="AM72" s="29"/>
      <c r="AN72" s="838"/>
      <c r="AO72" s="838"/>
      <c r="AP72" s="838"/>
      <c r="AQ72" s="838"/>
      <c r="AR72" s="838"/>
      <c r="AS72" s="838"/>
      <c r="AT72" s="838"/>
    </row>
    <row r="73" spans="1:46" ht="15.5" hidden="1" x14ac:dyDescent="0.35">
      <c r="E73" s="76" t="s">
        <v>33</v>
      </c>
      <c r="F73" s="84"/>
      <c r="G73" s="84"/>
      <c r="H73" s="84"/>
      <c r="I73" s="77"/>
      <c r="J73" s="6"/>
      <c r="K73" s="6"/>
      <c r="L73" s="6"/>
      <c r="M73" s="6"/>
      <c r="N73" s="36"/>
      <c r="O73" s="37"/>
      <c r="P73" s="6"/>
      <c r="Q73" s="14"/>
      <c r="R73" s="92"/>
      <c r="S73" s="86"/>
      <c r="T73" s="93"/>
      <c r="U73" s="93"/>
      <c r="V73" s="87"/>
      <c r="W73" s="87"/>
      <c r="X73" s="87"/>
      <c r="Z73" s="838"/>
      <c r="AA73" s="838"/>
      <c r="AB73" s="838"/>
      <c r="AC73" s="838"/>
      <c r="AD73" s="838"/>
      <c r="AE73" s="838"/>
      <c r="AF73" s="838"/>
      <c r="AG73" s="838"/>
      <c r="AH73" s="838"/>
      <c r="AI73" s="838"/>
      <c r="AJ73" s="838"/>
      <c r="AK73" s="838"/>
      <c r="AL73" s="838"/>
      <c r="AM73" s="838"/>
      <c r="AN73" s="838"/>
      <c r="AO73" s="838"/>
      <c r="AP73" s="838"/>
      <c r="AQ73" s="838"/>
      <c r="AR73" s="838"/>
      <c r="AS73" s="838"/>
      <c r="AT73" s="838"/>
    </row>
    <row r="74" spans="1:46" ht="13.5" hidden="1" thickBot="1" x14ac:dyDescent="0.35">
      <c r="B74" s="94"/>
      <c r="C74" s="51"/>
      <c r="D74" s="51"/>
      <c r="E74" s="95"/>
      <c r="F74" s="95"/>
      <c r="G74" s="95"/>
      <c r="H74" s="95"/>
      <c r="I74" s="95"/>
      <c r="J74" s="96"/>
      <c r="K74" s="6"/>
      <c r="L74" s="6"/>
      <c r="M74" s="6"/>
      <c r="N74" s="36"/>
      <c r="O74" s="6"/>
      <c r="P74" s="37"/>
      <c r="R74" s="97"/>
      <c r="S74" s="98"/>
      <c r="T74" s="51"/>
      <c r="U74" s="51"/>
      <c r="V74" s="51"/>
      <c r="W74" s="51"/>
      <c r="X74" s="51"/>
      <c r="Z74" s="838"/>
      <c r="AA74" s="838"/>
      <c r="AB74" s="838"/>
      <c r="AC74" s="838"/>
      <c r="AD74" s="838"/>
      <c r="AE74" s="838"/>
      <c r="AF74" s="838"/>
      <c r="AG74" s="838"/>
      <c r="AH74" s="838"/>
      <c r="AI74" s="838"/>
      <c r="AJ74" s="838"/>
      <c r="AK74" s="838"/>
      <c r="AL74" s="838"/>
      <c r="AM74" s="838"/>
      <c r="AN74" s="838"/>
      <c r="AO74" s="838"/>
      <c r="AP74" s="838"/>
      <c r="AQ74" s="838"/>
      <c r="AR74" s="838"/>
      <c r="AS74" s="838"/>
      <c r="AT74" s="838"/>
    </row>
    <row r="75" spans="1:46" ht="13" hidden="1" x14ac:dyDescent="0.3">
      <c r="B75" s="94"/>
      <c r="C75" s="51"/>
      <c r="D75" s="51"/>
      <c r="E75" s="95"/>
      <c r="F75" s="95"/>
      <c r="G75" s="95"/>
      <c r="H75" s="95"/>
      <c r="I75" s="95"/>
      <c r="J75" s="96"/>
      <c r="K75" s="6"/>
      <c r="L75" s="6"/>
      <c r="M75" s="6"/>
      <c r="N75" s="36"/>
      <c r="O75" s="6"/>
      <c r="P75" s="37"/>
      <c r="R75" s="97"/>
      <c r="S75" s="99"/>
      <c r="T75" s="96"/>
      <c r="U75" s="51"/>
      <c r="V75" s="51"/>
      <c r="W75" s="51"/>
      <c r="X75" s="51"/>
      <c r="Z75" s="838"/>
      <c r="AA75" s="838"/>
      <c r="AB75" s="838"/>
      <c r="AC75" s="838"/>
      <c r="AD75" s="838"/>
      <c r="AE75" s="838"/>
      <c r="AF75" s="838"/>
      <c r="AG75" s="838"/>
      <c r="AH75" s="838"/>
      <c r="AI75" s="838"/>
      <c r="AJ75" s="838"/>
      <c r="AK75" s="838"/>
      <c r="AL75" s="838"/>
      <c r="AM75" s="838"/>
      <c r="AN75" s="838"/>
      <c r="AO75" s="838"/>
      <c r="AP75" s="838"/>
      <c r="AQ75" s="838"/>
      <c r="AR75" s="838"/>
      <c r="AS75" s="838"/>
      <c r="AT75" s="838"/>
    </row>
    <row r="76" spans="1:46" ht="16" hidden="1" thickBot="1" x14ac:dyDescent="0.4">
      <c r="B76" s="94"/>
      <c r="C76" s="51"/>
      <c r="D76" s="51"/>
      <c r="E76" s="95"/>
      <c r="F76" s="95"/>
      <c r="G76" s="95"/>
      <c r="H76" s="95"/>
      <c r="I76" s="95"/>
      <c r="J76" s="95"/>
      <c r="K76" s="6"/>
      <c r="L76" s="6"/>
      <c r="M76" s="6"/>
      <c r="N76" s="36"/>
      <c r="O76" s="6"/>
      <c r="P76" s="37"/>
      <c r="R76" s="100"/>
      <c r="S76" s="101"/>
      <c r="T76" s="101"/>
      <c r="U76" s="101"/>
      <c r="V76" s="51"/>
      <c r="W76" s="51"/>
      <c r="X76" s="866"/>
      <c r="Y76" s="102"/>
      <c r="Z76" s="102"/>
      <c r="AA76" s="102"/>
      <c r="AB76" s="103"/>
      <c r="AC76" s="850"/>
      <c r="AD76" s="838"/>
      <c r="AE76" s="838"/>
      <c r="AF76" s="838"/>
      <c r="AG76" s="838"/>
      <c r="AH76" s="838"/>
      <c r="AI76" s="838"/>
      <c r="AJ76" s="838"/>
      <c r="AK76" s="838"/>
      <c r="AL76" s="838"/>
      <c r="AM76" s="838"/>
      <c r="AN76" s="838"/>
      <c r="AO76" s="838"/>
      <c r="AP76" s="838"/>
      <c r="AQ76" s="838"/>
      <c r="AR76" s="838"/>
      <c r="AS76" s="838"/>
      <c r="AT76" s="838"/>
    </row>
    <row r="77" spans="1:46" ht="13" hidden="1" x14ac:dyDescent="0.3">
      <c r="B77" s="94"/>
      <c r="C77" s="51"/>
      <c r="D77" s="51"/>
      <c r="E77" s="95"/>
      <c r="F77" s="51"/>
      <c r="G77" s="51"/>
      <c r="H77" s="95"/>
      <c r="I77" s="95"/>
      <c r="J77" s="96"/>
      <c r="K77" s="6"/>
      <c r="L77" s="6"/>
      <c r="M77" s="95"/>
      <c r="N77" s="36"/>
      <c r="O77" s="6"/>
      <c r="P77" s="6"/>
      <c r="Z77" s="838"/>
      <c r="AA77" s="838"/>
      <c r="AB77" s="838"/>
      <c r="AC77" s="838"/>
      <c r="AD77" s="838"/>
      <c r="AE77" s="838"/>
      <c r="AF77" s="838"/>
      <c r="AG77" s="838"/>
      <c r="AH77" s="838"/>
      <c r="AI77" s="838"/>
      <c r="AJ77" s="838"/>
      <c r="AK77" s="838"/>
      <c r="AL77" s="838"/>
      <c r="AM77" s="838"/>
      <c r="AN77" s="838"/>
      <c r="AO77" s="838"/>
      <c r="AP77" s="838"/>
      <c r="AQ77" s="838"/>
      <c r="AR77" s="838"/>
      <c r="AS77" s="838"/>
      <c r="AT77" s="838"/>
    </row>
    <row r="78" spans="1:46" ht="15" customHeight="1" thickBot="1" x14ac:dyDescent="0.35">
      <c r="B78" s="105"/>
      <c r="C78" s="51"/>
      <c r="D78" s="51"/>
      <c r="E78" s="95"/>
      <c r="F78" s="95"/>
      <c r="G78" s="96"/>
      <c r="H78" s="95"/>
      <c r="I78" s="95"/>
      <c r="J78" s="95"/>
      <c r="K78" s="36"/>
      <c r="L78" s="6"/>
      <c r="M78" s="95"/>
      <c r="N78" s="36"/>
      <c r="O78" s="6"/>
      <c r="P78" s="6"/>
      <c r="Z78" s="838"/>
      <c r="AA78" s="838"/>
      <c r="AB78" s="838"/>
      <c r="AC78" s="838"/>
      <c r="AD78" s="838"/>
      <c r="AE78" s="838"/>
      <c r="AF78" s="838"/>
      <c r="AG78" s="29"/>
      <c r="AH78" s="893"/>
      <c r="AI78" s="893"/>
      <c r="AJ78" s="893"/>
      <c r="AK78" s="43"/>
      <c r="AL78" s="893"/>
      <c r="AM78" s="43"/>
      <c r="AN78" s="838"/>
      <c r="AO78" s="838"/>
      <c r="AP78" s="838"/>
      <c r="AQ78" s="838"/>
      <c r="AR78" s="838"/>
      <c r="AS78" s="838"/>
      <c r="AT78" s="838"/>
    </row>
    <row r="79" spans="1:46" ht="15.5" x14ac:dyDescent="0.35">
      <c r="B79" s="978"/>
      <c r="C79" s="896"/>
      <c r="D79" s="63"/>
      <c r="E79" s="979"/>
      <c r="F79" s="32"/>
      <c r="G79" s="32"/>
      <c r="H79" s="32"/>
      <c r="I79" s="32"/>
      <c r="J79" s="1171" t="s">
        <v>357</v>
      </c>
      <c r="K79" s="1171"/>
      <c r="L79" s="1172"/>
      <c r="M79" s="1171"/>
      <c r="N79" s="1171"/>
      <c r="O79" s="1172"/>
      <c r="P79" s="1172"/>
      <c r="Q79" s="1172"/>
      <c r="R79" s="1172"/>
      <c r="S79" s="1172"/>
      <c r="T79" s="1173" t="s">
        <v>36</v>
      </c>
      <c r="U79" s="1172"/>
      <c r="V79" s="1182" t="s">
        <v>358</v>
      </c>
      <c r="W79" s="1183"/>
      <c r="X79" s="1183"/>
      <c r="Y79" s="46"/>
      <c r="Z79" s="1174" t="s">
        <v>359</v>
      </c>
      <c r="AB79" s="838"/>
      <c r="AC79" s="838"/>
      <c r="AD79" s="838"/>
      <c r="AE79" s="838"/>
      <c r="AF79" s="838"/>
      <c r="AG79" s="29"/>
      <c r="AH79" s="838"/>
      <c r="AI79" s="838"/>
      <c r="AJ79" s="838"/>
      <c r="AK79" s="29"/>
      <c r="AL79" s="863"/>
      <c r="AM79" s="29"/>
      <c r="AN79" s="838"/>
      <c r="AO79" s="838"/>
      <c r="AP79" s="838"/>
      <c r="AQ79" s="838"/>
      <c r="AR79" s="838"/>
      <c r="AS79" s="838"/>
      <c r="AT79" s="838"/>
    </row>
    <row r="80" spans="1:46" ht="16" thickBot="1" x14ac:dyDescent="0.4">
      <c r="B80" s="978"/>
      <c r="C80" s="896"/>
      <c r="D80" s="63"/>
      <c r="E80" s="979"/>
      <c r="F80" s="32"/>
      <c r="G80" s="32"/>
      <c r="H80" s="1181" t="s">
        <v>409</v>
      </c>
      <c r="I80" s="32"/>
      <c r="J80" s="1171"/>
      <c r="K80" s="1171"/>
      <c r="L80" s="1172"/>
      <c r="M80" s="1171"/>
      <c r="N80" s="1171"/>
      <c r="O80" s="1172"/>
      <c r="P80" s="1172"/>
      <c r="Q80" s="1172"/>
      <c r="R80" s="1172"/>
      <c r="S80" s="1172"/>
      <c r="T80" s="1175"/>
      <c r="U80" s="1172"/>
      <c r="V80" s="1182"/>
      <c r="W80" s="1184">
        <v>894928.55</v>
      </c>
      <c r="X80" s="1184">
        <v>776327.88</v>
      </c>
      <c r="Y80" s="46"/>
      <c r="Z80" s="1174"/>
      <c r="AA80" s="46"/>
      <c r="AB80" s="838"/>
      <c r="AC80" s="838"/>
      <c r="AD80" s="838"/>
      <c r="AE80" s="838"/>
      <c r="AF80" s="838"/>
      <c r="AG80" s="29"/>
      <c r="AH80" s="838"/>
      <c r="AI80" s="838"/>
      <c r="AJ80" s="838"/>
      <c r="AK80" s="29"/>
      <c r="AL80" s="863"/>
      <c r="AM80" s="29"/>
      <c r="AN80" s="838"/>
      <c r="AO80" s="838"/>
      <c r="AP80" s="838"/>
      <c r="AQ80" s="838"/>
      <c r="AR80" s="838"/>
      <c r="AS80" s="838"/>
      <c r="AT80" s="838"/>
    </row>
    <row r="81" spans="1:46" ht="16" thickBot="1" x14ac:dyDescent="0.4">
      <c r="B81" s="51"/>
      <c r="C81" s="51"/>
      <c r="D81" s="51"/>
      <c r="E81" s="32"/>
      <c r="F81" s="35"/>
      <c r="G81" s="35"/>
      <c r="H81" s="35"/>
      <c r="I81" s="32"/>
      <c r="J81" s="53"/>
      <c r="K81" s="6"/>
      <c r="L81" s="19"/>
      <c r="M81" s="45"/>
      <c r="N81" s="45"/>
      <c r="O81" s="839"/>
      <c r="P81" s="19" t="s">
        <v>37</v>
      </c>
      <c r="T81" s="106" t="s">
        <v>38</v>
      </c>
      <c r="V81" s="1831" t="s">
        <v>302</v>
      </c>
      <c r="W81" s="1832"/>
      <c r="X81" s="1833"/>
      <c r="Z81" s="838"/>
      <c r="AA81" s="838"/>
      <c r="AB81" s="838"/>
      <c r="AC81" s="838"/>
      <c r="AD81" s="838"/>
      <c r="AE81" s="838"/>
      <c r="AF81" s="838"/>
      <c r="AG81" s="866"/>
      <c r="AH81" s="838"/>
      <c r="AI81" s="838"/>
      <c r="AJ81" s="838"/>
      <c r="AK81" s="29"/>
      <c r="AL81" s="838"/>
      <c r="AM81" s="838"/>
      <c r="AN81" s="838"/>
      <c r="AO81" s="838"/>
      <c r="AP81" s="838"/>
      <c r="AQ81" s="838"/>
      <c r="AR81" s="838"/>
      <c r="AS81" s="838"/>
      <c r="AT81" s="838"/>
    </row>
    <row r="82" spans="1:46" ht="16" thickBot="1" x14ac:dyDescent="0.4">
      <c r="A82" s="51"/>
      <c r="B82" s="51"/>
      <c r="E82" s="6"/>
      <c r="I82" s="6"/>
      <c r="J82" s="14"/>
      <c r="K82" s="6"/>
      <c r="L82" s="19"/>
      <c r="M82" s="45"/>
      <c r="N82" s="45"/>
      <c r="O82" s="839"/>
      <c r="P82" s="19" t="s">
        <v>39</v>
      </c>
      <c r="T82" s="107" t="s">
        <v>40</v>
      </c>
      <c r="U82" s="19" t="s">
        <v>41</v>
      </c>
      <c r="V82" s="108"/>
      <c r="W82" s="1197" t="s">
        <v>399</v>
      </c>
      <c r="X82" s="1197" t="s">
        <v>400</v>
      </c>
      <c r="Y82" s="109" t="s">
        <v>42</v>
      </c>
      <c r="Z82" s="838"/>
      <c r="AA82" s="838"/>
      <c r="AB82" s="838"/>
      <c r="AC82" s="838"/>
      <c r="AD82" s="838"/>
      <c r="AE82" s="838"/>
      <c r="AF82" s="838"/>
      <c r="AG82" s="866"/>
      <c r="AH82" s="102"/>
      <c r="AI82" s="102"/>
      <c r="AJ82" s="102"/>
      <c r="AK82" s="103"/>
      <c r="AL82" s="838"/>
      <c r="AM82" s="838"/>
      <c r="AN82" s="838"/>
      <c r="AO82" s="838"/>
      <c r="AP82" s="838"/>
      <c r="AQ82" s="838"/>
      <c r="AR82" s="838"/>
      <c r="AS82" s="838"/>
      <c r="AT82" s="838"/>
    </row>
    <row r="83" spans="1:46" ht="16" thickBot="1" x14ac:dyDescent="0.4">
      <c r="A83" s="110"/>
      <c r="B83" s="51"/>
      <c r="C83" s="104"/>
      <c r="D83" s="104"/>
      <c r="E83" s="866"/>
      <c r="F83" s="102"/>
      <c r="G83" s="102"/>
      <c r="H83" s="102"/>
      <c r="I83" s="103"/>
      <c r="J83" s="827" t="s">
        <v>275</v>
      </c>
      <c r="K83" s="111" t="s">
        <v>43</v>
      </c>
      <c r="L83" s="112">
        <v>12084795</v>
      </c>
      <c r="M83" s="112">
        <v>6792955</v>
      </c>
      <c r="N83" s="112">
        <v>5291840</v>
      </c>
      <c r="O83" s="112">
        <f>P83+Q83</f>
        <v>9478097.379999999</v>
      </c>
      <c r="P83" s="112">
        <v>5326831.0199999996</v>
      </c>
      <c r="Q83" s="112">
        <v>4151266.36</v>
      </c>
      <c r="R83" s="113"/>
      <c r="S83" s="113"/>
      <c r="T83" s="114" t="e">
        <f>U83+#REF!</f>
        <v>#REF!</v>
      </c>
      <c r="U83" s="112">
        <v>6382248.29</v>
      </c>
      <c r="V83" s="1067">
        <f>W83+X83</f>
        <v>11975264.26</v>
      </c>
      <c r="W83" s="1198">
        <v>6389431.5</v>
      </c>
      <c r="X83" s="1199">
        <v>5585832.7599999998</v>
      </c>
      <c r="Y83" s="115">
        <v>5255096</v>
      </c>
      <c r="Z83" s="1296" t="s">
        <v>433</v>
      </c>
      <c r="AA83" s="838"/>
      <c r="AB83" s="838"/>
      <c r="AC83" s="838"/>
      <c r="AD83" s="838"/>
      <c r="AE83" s="838"/>
      <c r="AF83" s="838"/>
      <c r="AG83" s="838"/>
      <c r="AH83" s="838"/>
      <c r="AI83" s="838"/>
      <c r="AJ83" s="838"/>
      <c r="AK83" s="838"/>
      <c r="AL83" s="838"/>
      <c r="AM83" s="838"/>
      <c r="AN83" s="838"/>
      <c r="AO83" s="838"/>
      <c r="AP83" s="838"/>
      <c r="AQ83" s="838"/>
      <c r="AR83" s="838"/>
      <c r="AS83" s="838"/>
      <c r="AT83" s="838"/>
    </row>
    <row r="84" spans="1:46" ht="0.75" customHeight="1" thickBot="1" x14ac:dyDescent="0.3">
      <c r="A84" s="117"/>
      <c r="B84" s="104"/>
      <c r="C84" s="104"/>
      <c r="D84" s="104"/>
      <c r="E84" s="104"/>
      <c r="F84" s="104"/>
      <c r="G84" s="104"/>
      <c r="H84" s="104"/>
      <c r="I84" s="6"/>
      <c r="J84" s="6"/>
      <c r="K84" s="6"/>
      <c r="L84" s="118"/>
      <c r="M84" s="118"/>
      <c r="N84" s="119"/>
      <c r="O84" s="118"/>
      <c r="P84" s="118"/>
      <c r="Q84" s="119"/>
      <c r="R84" s="118"/>
      <c r="S84" s="118"/>
      <c r="T84" s="120"/>
      <c r="U84" s="118"/>
      <c r="V84" s="118"/>
      <c r="W84" s="828"/>
      <c r="X84" s="831"/>
      <c r="Y84" s="121"/>
      <c r="Z84" s="122"/>
      <c r="AA84" s="838"/>
      <c r="AB84" s="838"/>
      <c r="AC84" s="838"/>
      <c r="AD84" s="838"/>
      <c r="AE84" s="838"/>
      <c r="AF84" s="838"/>
      <c r="AG84" s="838"/>
      <c r="AH84" s="838"/>
      <c r="AI84" s="838"/>
      <c r="AJ84" s="838"/>
      <c r="AK84" s="838"/>
      <c r="AL84" s="838"/>
      <c r="AM84" s="838"/>
      <c r="AN84" s="838"/>
      <c r="AO84" s="838"/>
      <c r="AP84" s="838"/>
      <c r="AQ84" s="838"/>
      <c r="AR84" s="838"/>
      <c r="AS84" s="838"/>
      <c r="AT84" s="838"/>
    </row>
    <row r="85" spans="1:46" ht="14" x14ac:dyDescent="0.3">
      <c r="A85" s="123"/>
      <c r="B85" s="124"/>
      <c r="C85" s="124"/>
      <c r="D85" s="124"/>
      <c r="E85" s="124" t="s">
        <v>44</v>
      </c>
      <c r="F85" s="124"/>
      <c r="G85" s="124"/>
      <c r="H85" s="124"/>
      <c r="I85" s="125"/>
      <c r="J85" s="125"/>
      <c r="K85" s="125"/>
      <c r="L85" s="126" t="s">
        <v>45</v>
      </c>
      <c r="M85" s="127" t="s">
        <v>46</v>
      </c>
      <c r="N85" s="126" t="s">
        <v>46</v>
      </c>
      <c r="O85" s="126" t="s">
        <v>45</v>
      </c>
      <c r="P85" s="127" t="s">
        <v>46</v>
      </c>
      <c r="Q85" s="126" t="s">
        <v>46</v>
      </c>
      <c r="R85" s="126"/>
      <c r="S85" s="126"/>
      <c r="T85" s="128" t="s">
        <v>45</v>
      </c>
      <c r="U85" s="127" t="s">
        <v>46</v>
      </c>
      <c r="V85" s="971" t="s">
        <v>273</v>
      </c>
      <c r="W85" s="829" t="s">
        <v>47</v>
      </c>
      <c r="X85" s="832" t="s">
        <v>47</v>
      </c>
      <c r="Y85" s="129"/>
      <c r="Z85" s="130"/>
      <c r="AA85" s="838"/>
      <c r="AB85" s="838"/>
      <c r="AC85" s="838"/>
      <c r="AD85" s="838"/>
      <c r="AE85" s="838"/>
      <c r="AF85" s="838"/>
      <c r="AG85" s="838"/>
      <c r="AH85" s="838"/>
      <c r="AI85" s="838"/>
      <c r="AJ85" s="838"/>
      <c r="AK85" s="838"/>
      <c r="AL85" s="838"/>
      <c r="AM85" s="838"/>
      <c r="AN85" s="838"/>
      <c r="AO85" s="838"/>
      <c r="AP85" s="838"/>
      <c r="AQ85" s="838"/>
      <c r="AR85" s="838"/>
      <c r="AS85" s="838"/>
      <c r="AT85" s="838"/>
    </row>
    <row r="86" spans="1:46" ht="14.5" thickBot="1" x14ac:dyDescent="0.35">
      <c r="A86" s="131"/>
      <c r="B86" s="840"/>
      <c r="C86" s="840"/>
      <c r="D86" s="840"/>
      <c r="E86" s="840"/>
      <c r="F86" s="840"/>
      <c r="G86" s="840"/>
      <c r="H86" s="840"/>
      <c r="I86" s="133"/>
      <c r="J86" s="133"/>
      <c r="K86" s="133"/>
      <c r="L86" s="134" t="s">
        <v>48</v>
      </c>
      <c r="M86" s="135" t="s">
        <v>49</v>
      </c>
      <c r="N86" s="134" t="s">
        <v>50</v>
      </c>
      <c r="O86" s="134" t="s">
        <v>48</v>
      </c>
      <c r="P86" s="135" t="s">
        <v>49</v>
      </c>
      <c r="Q86" s="134" t="s">
        <v>50</v>
      </c>
      <c r="R86" s="134" t="s">
        <v>51</v>
      </c>
      <c r="S86" s="134" t="s">
        <v>52</v>
      </c>
      <c r="T86" s="136" t="s">
        <v>48</v>
      </c>
      <c r="U86" s="135" t="s">
        <v>49</v>
      </c>
      <c r="V86" s="972" t="s">
        <v>274</v>
      </c>
      <c r="W86" s="830" t="s">
        <v>53</v>
      </c>
      <c r="X86" s="833" t="s">
        <v>50</v>
      </c>
      <c r="Y86" s="137"/>
      <c r="Z86" s="130"/>
      <c r="AA86" s="838"/>
      <c r="AB86" s="838"/>
      <c r="AC86" s="838"/>
      <c r="AD86" s="838"/>
      <c r="AE86" s="838"/>
      <c r="AF86" s="838"/>
      <c r="AG86" s="838"/>
      <c r="AH86" s="838"/>
      <c r="AI86" s="838"/>
      <c r="AJ86" s="838"/>
      <c r="AK86" s="838"/>
      <c r="AL86" s="838"/>
      <c r="AM86" s="838"/>
      <c r="AN86" s="838"/>
      <c r="AO86" s="838"/>
      <c r="AP86" s="838"/>
      <c r="AQ86" s="838"/>
      <c r="AR86" s="838"/>
      <c r="AS86" s="838"/>
      <c r="AT86" s="838"/>
    </row>
    <row r="87" spans="1:46" ht="14" x14ac:dyDescent="0.3">
      <c r="A87" s="138"/>
      <c r="B87" s="139" t="s">
        <v>54</v>
      </c>
      <c r="C87" s="841"/>
      <c r="D87" s="841"/>
      <c r="E87" s="841"/>
      <c r="F87" s="841"/>
      <c r="G87" s="841"/>
      <c r="H87" s="841"/>
      <c r="I87" s="56"/>
      <c r="J87" s="56"/>
      <c r="K87" s="56"/>
      <c r="L87" s="141">
        <f>M87+N87</f>
        <v>1156680</v>
      </c>
      <c r="M87" s="871">
        <f>M88+M94+M95+M96+M97</f>
        <v>578340</v>
      </c>
      <c r="N87" s="871">
        <f>N88+N94+N95+N96+N97</f>
        <v>578340</v>
      </c>
      <c r="O87" s="141">
        <f>P87+Q87</f>
        <v>1113445.28</v>
      </c>
      <c r="P87" s="871">
        <f>P88+P94+P95+P96+P97</f>
        <v>540450.52</v>
      </c>
      <c r="Q87" s="871">
        <f>Q88+Q94+Q95+Q96+Q97</f>
        <v>572994.76</v>
      </c>
      <c r="R87" s="143">
        <f>R88+R94+R95+R96+R97</f>
        <v>3.6403755966782185</v>
      </c>
      <c r="S87" s="141">
        <f>R87/R234*100</f>
        <v>14.065819273290735</v>
      </c>
      <c r="T87" s="141" t="e">
        <f>U87+#REF!</f>
        <v>#REF!</v>
      </c>
      <c r="U87" s="871">
        <f>U88+U94+U95+U96+U97</f>
        <v>648520</v>
      </c>
      <c r="V87" s="871">
        <f>W87+X87</f>
        <v>872240</v>
      </c>
      <c r="W87" s="973">
        <f>W88+W95+W96+W97</f>
        <v>422020</v>
      </c>
      <c r="X87" s="974">
        <f>X88+X95+X96+X97</f>
        <v>450220</v>
      </c>
      <c r="Y87" s="144">
        <f>Y88+Y94+Y95+Y96+Y97</f>
        <v>0</v>
      </c>
      <c r="Z87" s="145"/>
      <c r="AA87" s="35"/>
      <c r="AB87" s="35"/>
      <c r="AC87" s="35"/>
      <c r="AD87" s="35"/>
      <c r="AE87" s="35"/>
      <c r="AF87" s="35"/>
      <c r="AG87" s="35"/>
      <c r="AH87" s="838"/>
      <c r="AI87" s="838"/>
      <c r="AJ87" s="838"/>
      <c r="AK87" s="838"/>
      <c r="AL87" s="838"/>
      <c r="AM87" s="838"/>
      <c r="AN87" s="838"/>
      <c r="AO87" s="838"/>
      <c r="AP87" s="838"/>
      <c r="AQ87" s="838"/>
      <c r="AR87" s="838"/>
      <c r="AS87" s="838"/>
      <c r="AT87" s="838"/>
    </row>
    <row r="88" spans="1:46" ht="13" x14ac:dyDescent="0.3">
      <c r="A88" s="146"/>
      <c r="B88" s="845" t="s">
        <v>276</v>
      </c>
      <c r="C88" s="845"/>
      <c r="D88" s="845"/>
      <c r="E88" s="845"/>
      <c r="F88" s="845"/>
      <c r="G88" s="845"/>
      <c r="H88" s="845"/>
      <c r="I88" s="845"/>
      <c r="J88" s="1207" t="s">
        <v>437</v>
      </c>
      <c r="K88" s="148" t="s">
        <v>55</v>
      </c>
      <c r="L88" s="149">
        <f>M88+N88</f>
        <v>593480</v>
      </c>
      <c r="M88" s="150">
        <v>296740</v>
      </c>
      <c r="N88" s="151">
        <v>296740</v>
      </c>
      <c r="O88" s="152">
        <f>P88+Q88</f>
        <v>647230</v>
      </c>
      <c r="P88" s="153">
        <f>P90+P91+P92+P93</f>
        <v>303850</v>
      </c>
      <c r="Q88" s="150">
        <f>Q90+Q91+Q92+Q93</f>
        <v>343380</v>
      </c>
      <c r="R88" s="154">
        <f>O88/10/30586</f>
        <v>2.1160988687634865</v>
      </c>
      <c r="S88" s="149" t="e">
        <f>U88+#REF!</f>
        <v>#REF!</v>
      </c>
      <c r="T88" s="152" t="e">
        <f>U88+#REF!</f>
        <v>#REF!</v>
      </c>
      <c r="U88" s="153">
        <f>U90+U91+U92+U93</f>
        <v>364620</v>
      </c>
      <c r="V88" s="231">
        <f>W88+X88</f>
        <v>798240</v>
      </c>
      <c r="W88" s="1200">
        <f>W90+W91+W92+W93+W94</f>
        <v>400020</v>
      </c>
      <c r="X88" s="1200">
        <f>X90+X91+X92+X93+X94</f>
        <v>398220</v>
      </c>
      <c r="Y88" s="155"/>
      <c r="Z88" s="276"/>
      <c r="AA88" s="156"/>
      <c r="AB88" s="35"/>
      <c r="AC88" s="35"/>
      <c r="AD88" s="35"/>
      <c r="AE88" s="35"/>
      <c r="AF88" s="35"/>
      <c r="AG88" s="35"/>
      <c r="AH88" s="838"/>
      <c r="AI88" s="838"/>
      <c r="AJ88" s="838"/>
      <c r="AK88" s="838"/>
      <c r="AL88" s="838"/>
      <c r="AM88" s="838"/>
      <c r="AN88" s="838"/>
      <c r="AO88" s="838"/>
      <c r="AP88" s="838"/>
      <c r="AQ88" s="838"/>
      <c r="AR88" s="838"/>
      <c r="AS88" s="838"/>
      <c r="AT88" s="838"/>
    </row>
    <row r="89" spans="1:46" ht="13" hidden="1" x14ac:dyDescent="0.3">
      <c r="A89" s="157"/>
      <c r="B89" s="842"/>
      <c r="C89" s="842"/>
      <c r="D89" s="842"/>
      <c r="E89" s="842"/>
      <c r="F89" s="842"/>
      <c r="G89" s="842"/>
      <c r="H89" s="842"/>
      <c r="I89" s="842"/>
      <c r="J89" s="63"/>
      <c r="K89" s="159"/>
      <c r="L89" s="160"/>
      <c r="M89" s="161"/>
      <c r="N89" s="162"/>
      <c r="O89" s="163"/>
      <c r="P89" s="164"/>
      <c r="Q89" s="165"/>
      <c r="R89" s="166"/>
      <c r="S89" s="160"/>
      <c r="T89" s="163"/>
      <c r="U89" s="164"/>
      <c r="V89" s="231"/>
      <c r="W89" s="1201"/>
      <c r="X89" s="1201"/>
      <c r="Y89" s="167"/>
      <c r="Z89" s="242"/>
      <c r="AA89" s="35"/>
      <c r="AB89" s="35"/>
      <c r="AC89" s="35"/>
      <c r="AD89" s="35"/>
      <c r="AE89" s="35"/>
      <c r="AF89" s="35"/>
      <c r="AG89" s="35"/>
      <c r="AH89" s="838"/>
      <c r="AI89" s="838"/>
      <c r="AJ89" s="838"/>
      <c r="AK89" s="838"/>
      <c r="AL89" s="838"/>
      <c r="AM89" s="838"/>
      <c r="AN89" s="838"/>
      <c r="AO89" s="838"/>
      <c r="AP89" s="838"/>
      <c r="AQ89" s="838"/>
      <c r="AR89" s="838"/>
      <c r="AS89" s="838"/>
      <c r="AT89" s="838"/>
    </row>
    <row r="90" spans="1:46" ht="13" x14ac:dyDescent="0.3">
      <c r="A90" s="146"/>
      <c r="B90" s="859" t="s">
        <v>56</v>
      </c>
      <c r="C90" s="859"/>
      <c r="D90" s="859"/>
      <c r="E90" s="859"/>
      <c r="F90" s="859"/>
      <c r="G90" s="859"/>
      <c r="H90" s="842"/>
      <c r="I90" s="842"/>
      <c r="J90" s="1208" t="s">
        <v>438</v>
      </c>
      <c r="K90" s="842"/>
      <c r="L90" s="160">
        <f t="shared" ref="L90:L98" si="0">M90+N90</f>
        <v>161880</v>
      </c>
      <c r="M90" s="161">
        <v>80940</v>
      </c>
      <c r="N90" s="169">
        <v>80940</v>
      </c>
      <c r="O90" s="163">
        <f t="shared" ref="O90:O98" si="1">P90+Q90</f>
        <v>134900</v>
      </c>
      <c r="P90" s="164">
        <v>67450</v>
      </c>
      <c r="Q90" s="161">
        <v>67450</v>
      </c>
      <c r="R90" s="170">
        <f t="shared" ref="R90:R97" si="2">O90/10/30586</f>
        <v>0.44105146145295232</v>
      </c>
      <c r="S90" s="160" t="e">
        <f>U90+#REF!</f>
        <v>#REF!</v>
      </c>
      <c r="T90" s="163" t="e">
        <f>U90+#REF!</f>
        <v>#REF!</v>
      </c>
      <c r="U90" s="164">
        <v>80940</v>
      </c>
      <c r="V90" s="231">
        <f t="shared" ref="V90:V97" si="3">W90+X90</f>
        <v>323400</v>
      </c>
      <c r="W90" s="1201">
        <v>162600</v>
      </c>
      <c r="X90" s="1201">
        <v>160800</v>
      </c>
      <c r="Y90" s="171"/>
      <c r="Z90" s="277" t="s">
        <v>351</v>
      </c>
      <c r="AA90" s="172"/>
      <c r="AB90" s="35"/>
      <c r="AC90" s="35"/>
      <c r="AD90" s="35"/>
      <c r="AE90" s="35"/>
      <c r="AF90" s="35"/>
      <c r="AG90" s="35"/>
      <c r="AH90" s="839"/>
      <c r="AI90" s="838"/>
      <c r="AJ90" s="838"/>
      <c r="AK90" s="838"/>
      <c r="AL90" s="838"/>
      <c r="AM90" s="838"/>
      <c r="AN90" s="838"/>
      <c r="AO90" s="838"/>
      <c r="AP90" s="838"/>
      <c r="AQ90" s="838"/>
      <c r="AR90" s="838"/>
      <c r="AS90" s="838"/>
      <c r="AT90" s="838"/>
    </row>
    <row r="91" spans="1:46" ht="13" x14ac:dyDescent="0.3">
      <c r="A91" s="146"/>
      <c r="B91" s="859" t="s">
        <v>57</v>
      </c>
      <c r="C91" s="859"/>
      <c r="D91" s="859"/>
      <c r="E91" s="859"/>
      <c r="F91" s="859"/>
      <c r="G91" s="859"/>
      <c r="H91" s="842"/>
      <c r="I91" s="842"/>
      <c r="J91" s="842"/>
      <c r="K91" s="842"/>
      <c r="L91" s="160">
        <f t="shared" si="0"/>
        <v>63600</v>
      </c>
      <c r="M91" s="161">
        <v>31800</v>
      </c>
      <c r="N91" s="169">
        <v>31800</v>
      </c>
      <c r="O91" s="163">
        <f t="shared" si="1"/>
        <v>53000</v>
      </c>
      <c r="P91" s="164">
        <v>26500</v>
      </c>
      <c r="Q91" s="161">
        <v>26500</v>
      </c>
      <c r="R91" s="170">
        <f t="shared" si="2"/>
        <v>0.17328189367684563</v>
      </c>
      <c r="S91" s="160" t="e">
        <f>U91+#REF!</f>
        <v>#REF!</v>
      </c>
      <c r="T91" s="163" t="e">
        <f>U91+#REF!</f>
        <v>#REF!</v>
      </c>
      <c r="U91" s="164">
        <v>31800</v>
      </c>
      <c r="V91" s="231">
        <f t="shared" si="3"/>
        <v>63600</v>
      </c>
      <c r="W91" s="1201">
        <v>31800</v>
      </c>
      <c r="X91" s="1201">
        <v>31800</v>
      </c>
      <c r="Y91" s="171"/>
      <c r="Z91" s="276"/>
      <c r="AA91" s="172"/>
      <c r="AB91" s="35"/>
      <c r="AC91" s="35"/>
      <c r="AD91" s="35"/>
      <c r="AE91" s="35"/>
      <c r="AF91" s="35"/>
      <c r="AG91" s="35"/>
      <c r="AH91" s="838"/>
      <c r="AI91" s="838"/>
      <c r="AJ91" s="838"/>
      <c r="AK91" s="838"/>
      <c r="AL91" s="838"/>
      <c r="AM91" s="838"/>
      <c r="AN91" s="838"/>
      <c r="AO91" s="838"/>
      <c r="AP91" s="838"/>
      <c r="AQ91" s="838"/>
      <c r="AR91" s="838"/>
      <c r="AS91" s="838"/>
      <c r="AT91" s="838"/>
    </row>
    <row r="92" spans="1:46" ht="13" x14ac:dyDescent="0.3">
      <c r="A92" s="146"/>
      <c r="B92" s="859" t="s">
        <v>58</v>
      </c>
      <c r="C92" s="859"/>
      <c r="D92" s="859"/>
      <c r="E92" s="859"/>
      <c r="F92" s="859"/>
      <c r="G92" s="859"/>
      <c r="H92" s="842"/>
      <c r="I92" s="842"/>
      <c r="J92" s="842"/>
      <c r="K92" s="173"/>
      <c r="L92" s="160">
        <f t="shared" si="0"/>
        <v>348000</v>
      </c>
      <c r="M92" s="161">
        <v>174000</v>
      </c>
      <c r="N92" s="169">
        <v>174000</v>
      </c>
      <c r="O92" s="163">
        <f t="shared" si="1"/>
        <v>290000</v>
      </c>
      <c r="P92" s="164">
        <v>145000</v>
      </c>
      <c r="Q92" s="161">
        <v>145000</v>
      </c>
      <c r="R92" s="170">
        <f t="shared" si="2"/>
        <v>0.9481462106846269</v>
      </c>
      <c r="S92" s="160" t="e">
        <f>U92+#REF!</f>
        <v>#REF!</v>
      </c>
      <c r="T92" s="163" t="e">
        <f>U92+#REF!</f>
        <v>#REF!</v>
      </c>
      <c r="U92" s="164">
        <v>174000</v>
      </c>
      <c r="V92" s="231">
        <f t="shared" si="3"/>
        <v>348000</v>
      </c>
      <c r="W92" s="1201">
        <v>174000</v>
      </c>
      <c r="X92" s="1201">
        <v>174000</v>
      </c>
      <c r="Y92" s="171"/>
      <c r="Z92" s="276"/>
      <c r="AA92" s="172"/>
      <c r="AB92" s="35"/>
      <c r="AC92" s="35"/>
      <c r="AD92" s="35"/>
      <c r="AE92" s="35"/>
      <c r="AF92" s="35"/>
      <c r="AG92" s="148"/>
      <c r="AH92" s="838"/>
      <c r="AI92" s="838"/>
      <c r="AJ92" s="838"/>
      <c r="AK92" s="838"/>
      <c r="AL92" s="838"/>
      <c r="AM92" s="838"/>
      <c r="AN92" s="838"/>
      <c r="AO92" s="838"/>
      <c r="AP92" s="838"/>
      <c r="AQ92" s="838"/>
      <c r="AR92" s="838"/>
      <c r="AS92" s="838"/>
      <c r="AT92" s="838"/>
    </row>
    <row r="93" spans="1:46" ht="13" x14ac:dyDescent="0.3">
      <c r="A93" s="146"/>
      <c r="B93" s="868" t="s">
        <v>59</v>
      </c>
      <c r="C93" s="859"/>
      <c r="D93" s="859"/>
      <c r="E93" s="878"/>
      <c r="F93" s="878"/>
      <c r="G93" s="878"/>
      <c r="H93" s="878"/>
      <c r="I93" s="878"/>
      <c r="J93" s="842"/>
      <c r="K93" s="842"/>
      <c r="L93" s="160">
        <f t="shared" si="0"/>
        <v>20000</v>
      </c>
      <c r="M93" s="161">
        <v>10000</v>
      </c>
      <c r="N93" s="169">
        <v>10000</v>
      </c>
      <c r="O93" s="163">
        <f t="shared" si="1"/>
        <v>169330</v>
      </c>
      <c r="P93" s="164">
        <f>49560+15340</f>
        <v>64900</v>
      </c>
      <c r="Q93" s="161">
        <f>69148+35282</f>
        <v>104430</v>
      </c>
      <c r="R93" s="170">
        <f t="shared" si="2"/>
        <v>0.5536193029490617</v>
      </c>
      <c r="S93" s="160" t="e">
        <f>U93+#REF!</f>
        <v>#REF!</v>
      </c>
      <c r="T93" s="163" t="e">
        <f>U93+#REF!</f>
        <v>#REF!</v>
      </c>
      <c r="U93" s="164">
        <v>77880</v>
      </c>
      <c r="V93" s="1202">
        <f t="shared" si="3"/>
        <v>43200</v>
      </c>
      <c r="W93" s="900">
        <v>21600</v>
      </c>
      <c r="X93" s="1203">
        <v>21600</v>
      </c>
      <c r="Y93" s="171"/>
      <c r="Z93" s="838"/>
      <c r="AA93" s="175"/>
      <c r="AB93" s="35"/>
      <c r="AC93" s="35"/>
      <c r="AD93" s="35"/>
      <c r="AE93" s="35"/>
      <c r="AF93" s="35"/>
      <c r="AG93" s="176"/>
      <c r="AH93" s="838"/>
      <c r="AI93" s="838"/>
      <c r="AJ93" s="838"/>
      <c r="AK93" s="838"/>
      <c r="AL93" s="838"/>
      <c r="AM93" s="838"/>
      <c r="AN93" s="838"/>
      <c r="AO93" s="838"/>
      <c r="AP93" s="838"/>
      <c r="AQ93" s="838"/>
      <c r="AR93" s="838"/>
      <c r="AS93" s="838"/>
      <c r="AT93" s="838"/>
    </row>
    <row r="94" spans="1:46" ht="15.5" x14ac:dyDescent="0.35">
      <c r="A94" s="146"/>
      <c r="B94" s="878" t="s">
        <v>309</v>
      </c>
      <c r="C94" s="888"/>
      <c r="D94" s="845"/>
      <c r="E94" s="845"/>
      <c r="F94" s="845"/>
      <c r="G94" s="845"/>
      <c r="H94" s="845"/>
      <c r="I94" s="845"/>
      <c r="J94" s="845"/>
      <c r="K94" s="845"/>
      <c r="L94" s="160">
        <f t="shared" si="0"/>
        <v>206160</v>
      </c>
      <c r="M94" s="161">
        <v>103080</v>
      </c>
      <c r="N94" s="169">
        <v>103080</v>
      </c>
      <c r="O94" s="163">
        <f t="shared" si="1"/>
        <v>172300</v>
      </c>
      <c r="P94" s="164">
        <v>85900</v>
      </c>
      <c r="Q94" s="178">
        <f>85900+500</f>
        <v>86400</v>
      </c>
      <c r="R94" s="170">
        <f t="shared" si="2"/>
        <v>0.56332962793434904</v>
      </c>
      <c r="S94" s="160" t="e">
        <f>U94+#REF!</f>
        <v>#REF!</v>
      </c>
      <c r="T94" s="163" t="e">
        <f>U94+#REF!</f>
        <v>#REF!</v>
      </c>
      <c r="U94" s="164">
        <v>103000</v>
      </c>
      <c r="V94" s="903">
        <f t="shared" si="3"/>
        <v>20040</v>
      </c>
      <c r="W94" s="1204">
        <v>10020</v>
      </c>
      <c r="X94" s="1205">
        <v>10020</v>
      </c>
      <c r="Y94" s="179"/>
      <c r="Z94" s="276"/>
      <c r="AA94" s="172"/>
      <c r="AB94" s="35"/>
      <c r="AC94" s="35"/>
      <c r="AD94" s="35"/>
      <c r="AE94" s="35"/>
      <c r="AF94" s="35"/>
      <c r="AG94" s="32"/>
      <c r="AH94" s="838"/>
      <c r="AI94" s="838"/>
      <c r="AJ94" s="838"/>
      <c r="AK94" s="838"/>
      <c r="AL94" s="838"/>
      <c r="AM94" s="838"/>
      <c r="AN94" s="838"/>
      <c r="AO94" s="838"/>
      <c r="AP94" s="838"/>
      <c r="AQ94" s="838"/>
      <c r="AR94" s="838"/>
      <c r="AS94" s="838"/>
      <c r="AT94" s="838"/>
    </row>
    <row r="95" spans="1:46" ht="13" x14ac:dyDescent="0.3">
      <c r="A95" s="157"/>
      <c r="B95" s="845" t="s">
        <v>60</v>
      </c>
      <c r="C95" s="845"/>
      <c r="D95" s="845"/>
      <c r="E95" s="845"/>
      <c r="F95" s="845"/>
      <c r="G95" s="845"/>
      <c r="H95" s="845"/>
      <c r="I95" s="845"/>
      <c r="J95" s="845"/>
      <c r="K95" s="845"/>
      <c r="L95" s="160">
        <f t="shared" si="0"/>
        <v>336000</v>
      </c>
      <c r="M95" s="161">
        <v>168000</v>
      </c>
      <c r="N95" s="169">
        <v>168000</v>
      </c>
      <c r="O95" s="163">
        <f t="shared" si="1"/>
        <v>274642.23</v>
      </c>
      <c r="P95" s="164">
        <v>141064</v>
      </c>
      <c r="Q95" s="178">
        <f>119578.23+14000</f>
        <v>133578.22999999998</v>
      </c>
      <c r="R95" s="170">
        <f t="shared" si="2"/>
        <v>0.89793444713267501</v>
      </c>
      <c r="S95" s="160" t="e">
        <f>U95+#REF!</f>
        <v>#REF!</v>
      </c>
      <c r="T95" s="163" t="e">
        <f>U95+#REF!</f>
        <v>#REF!</v>
      </c>
      <c r="U95" s="164">
        <v>169300</v>
      </c>
      <c r="V95" s="1108">
        <v>0</v>
      </c>
      <c r="W95" s="1109">
        <v>0</v>
      </c>
      <c r="X95" s="1109">
        <v>0</v>
      </c>
      <c r="Y95" s="180"/>
      <c r="Z95" s="316"/>
      <c r="AA95" s="35"/>
      <c r="AB95" s="35"/>
      <c r="AC95" s="35"/>
      <c r="AD95" s="35"/>
      <c r="AE95" s="35"/>
      <c r="AF95" s="35"/>
      <c r="AG95" s="176"/>
      <c r="AH95" s="995"/>
      <c r="AI95" s="838"/>
      <c r="AJ95" s="838"/>
      <c r="AK95" s="838"/>
      <c r="AL95" s="838"/>
      <c r="AM95" s="838"/>
      <c r="AN95" s="838"/>
      <c r="AO95" s="838"/>
      <c r="AP95" s="838"/>
      <c r="AQ95" s="838"/>
      <c r="AR95" s="838"/>
      <c r="AS95" s="838"/>
      <c r="AT95" s="838"/>
    </row>
    <row r="96" spans="1:46" ht="13" x14ac:dyDescent="0.3">
      <c r="A96" s="157"/>
      <c r="B96" s="845" t="s">
        <v>61</v>
      </c>
      <c r="C96" s="845"/>
      <c r="D96" s="845"/>
      <c r="E96" s="845"/>
      <c r="F96" s="845"/>
      <c r="G96" s="845"/>
      <c r="H96" s="845"/>
      <c r="I96" s="845"/>
      <c r="J96" s="845"/>
      <c r="K96" s="845"/>
      <c r="L96" s="160">
        <f t="shared" si="0"/>
        <v>1000</v>
      </c>
      <c r="M96" s="161">
        <v>500</v>
      </c>
      <c r="N96" s="169">
        <v>500</v>
      </c>
      <c r="O96" s="163">
        <f t="shared" si="1"/>
        <v>0</v>
      </c>
      <c r="P96" s="164"/>
      <c r="Q96" s="178"/>
      <c r="R96" s="170">
        <f t="shared" si="2"/>
        <v>0</v>
      </c>
      <c r="S96" s="160" t="e">
        <f>U96+#REF!</f>
        <v>#REF!</v>
      </c>
      <c r="T96" s="163" t="e">
        <f>U96+#REF!</f>
        <v>#REF!</v>
      </c>
      <c r="U96" s="164"/>
      <c r="V96" s="903">
        <f t="shared" si="3"/>
        <v>4000</v>
      </c>
      <c r="W96" s="900">
        <v>2000</v>
      </c>
      <c r="X96" s="900">
        <v>2000</v>
      </c>
      <c r="Y96" s="180"/>
      <c r="Z96" s="316"/>
      <c r="AA96" s="1026"/>
      <c r="AB96" s="35"/>
      <c r="AC96" s="35"/>
      <c r="AD96" s="35"/>
      <c r="AE96" s="35"/>
      <c r="AF96" s="35"/>
      <c r="AG96" s="35"/>
      <c r="AH96" s="838"/>
      <c r="AI96" s="838"/>
      <c r="AJ96" s="838"/>
      <c r="AK96" s="838"/>
      <c r="AL96" s="838"/>
      <c r="AM96" s="838"/>
      <c r="AN96" s="838"/>
      <c r="AO96" s="838"/>
      <c r="AP96" s="838"/>
      <c r="AQ96" s="838"/>
      <c r="AR96" s="838"/>
      <c r="AS96" s="838"/>
      <c r="AT96" s="838"/>
    </row>
    <row r="97" spans="1:46" ht="13.5" thickBot="1" x14ac:dyDescent="0.35">
      <c r="A97" s="181"/>
      <c r="B97" s="182" t="s">
        <v>62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3">
        <f t="shared" si="0"/>
        <v>20040</v>
      </c>
      <c r="M97" s="184">
        <v>10020</v>
      </c>
      <c r="N97" s="185">
        <v>10020</v>
      </c>
      <c r="O97" s="186">
        <f t="shared" si="1"/>
        <v>19273.050000000003</v>
      </c>
      <c r="P97" s="187">
        <f>8350+1010.52+276</f>
        <v>9636.52</v>
      </c>
      <c r="Q97" s="184">
        <f>8350+1010.53+276</f>
        <v>9636.5300000000007</v>
      </c>
      <c r="R97" s="170">
        <f t="shared" si="2"/>
        <v>6.3012652847708114E-2</v>
      </c>
      <c r="S97" s="160" t="e">
        <f>U97+#REF!</f>
        <v>#REF!</v>
      </c>
      <c r="T97" s="186" t="e">
        <f>U97+#REF!</f>
        <v>#REF!</v>
      </c>
      <c r="U97" s="187">
        <f>10020+1580</f>
        <v>11600</v>
      </c>
      <c r="V97" s="903">
        <f t="shared" si="3"/>
        <v>70000</v>
      </c>
      <c r="W97" s="1206">
        <v>20000</v>
      </c>
      <c r="X97" s="1206">
        <v>50000</v>
      </c>
      <c r="Y97" s="188"/>
      <c r="Z97" s="277" t="s">
        <v>348</v>
      </c>
      <c r="AA97" s="35"/>
      <c r="AB97" s="847"/>
      <c r="AC97" s="35"/>
      <c r="AD97" s="35"/>
      <c r="AE97" s="35"/>
      <c r="AF97" s="35"/>
      <c r="AG97" s="35"/>
      <c r="AH97" s="838"/>
      <c r="AI97" s="838"/>
      <c r="AJ97" s="838"/>
      <c r="AK97" s="838"/>
      <c r="AL97" s="838"/>
      <c r="AM97" s="838"/>
      <c r="AN97" s="838"/>
      <c r="AO97" s="838"/>
      <c r="AP97" s="838"/>
      <c r="AQ97" s="838"/>
      <c r="AR97" s="838"/>
      <c r="AS97" s="838"/>
      <c r="AT97" s="838"/>
    </row>
    <row r="98" spans="1:46" ht="14" x14ac:dyDescent="0.3">
      <c r="A98" s="138"/>
      <c r="B98" s="190" t="s">
        <v>63</v>
      </c>
      <c r="C98" s="191"/>
      <c r="D98" s="191"/>
      <c r="E98" s="191"/>
      <c r="F98" s="191"/>
      <c r="G98" s="191"/>
      <c r="H98" s="191"/>
      <c r="I98" s="192"/>
      <c r="J98" s="192"/>
      <c r="K98" s="192"/>
      <c r="L98" s="193">
        <f t="shared" si="0"/>
        <v>468706.8</v>
      </c>
      <c r="M98" s="194">
        <f>M100+M101+M102</f>
        <v>234353.4</v>
      </c>
      <c r="N98" s="194">
        <f>N100+N101+N102</f>
        <v>234353.4</v>
      </c>
      <c r="O98" s="193">
        <f t="shared" si="1"/>
        <v>377391.34</v>
      </c>
      <c r="P98" s="194">
        <f>P100+P101+P102</f>
        <v>188695.67</v>
      </c>
      <c r="Q98" s="194">
        <f>Q100+Q101+Q102</f>
        <v>188695.67</v>
      </c>
      <c r="R98" s="195">
        <f>R100+R101+R102</f>
        <v>1.2338695481592885</v>
      </c>
      <c r="S98" s="141">
        <f>R98/R234*100</f>
        <v>4.7674712705639362</v>
      </c>
      <c r="T98" s="193" t="e">
        <f>U98+#REF!</f>
        <v>#REF!</v>
      </c>
      <c r="U98" s="194">
        <f>U100+U101+U102</f>
        <v>226563.5</v>
      </c>
      <c r="V98" s="872">
        <f>W98+X98</f>
        <v>620056.19999999995</v>
      </c>
      <c r="W98" s="913">
        <f>W100+W101+W102</f>
        <v>310028.09999999998</v>
      </c>
      <c r="X98" s="913">
        <f>X100+X101+X102</f>
        <v>310028.09999999998</v>
      </c>
      <c r="Y98" s="196"/>
      <c r="Z98" s="145"/>
      <c r="AA98" s="35"/>
      <c r="AB98" s="35"/>
      <c r="AC98" s="35"/>
      <c r="AD98" s="35"/>
      <c r="AE98" s="35"/>
      <c r="AF98" s="35"/>
      <c r="AG98" s="32"/>
      <c r="AH98" s="838"/>
      <c r="AI98" s="838"/>
      <c r="AJ98" s="838"/>
      <c r="AK98" s="838"/>
      <c r="AL98" s="838"/>
      <c r="AM98" s="838"/>
      <c r="AN98" s="838"/>
      <c r="AO98" s="838"/>
      <c r="AP98" s="838"/>
      <c r="AQ98" s="838"/>
      <c r="AR98" s="838"/>
      <c r="AS98" s="838"/>
      <c r="AT98" s="838"/>
    </row>
    <row r="99" spans="1:46" ht="13" x14ac:dyDescent="0.3">
      <c r="A99" s="146"/>
      <c r="B99" s="853" t="s">
        <v>64</v>
      </c>
      <c r="C99" s="32"/>
      <c r="D99" s="32"/>
      <c r="E99" s="32"/>
      <c r="F99" s="32"/>
      <c r="G99" s="842"/>
      <c r="H99" s="842"/>
      <c r="I99" s="842"/>
      <c r="K99" s="159"/>
      <c r="L99" s="161"/>
      <c r="M99" s="198"/>
      <c r="N99" s="198"/>
      <c r="O99" s="161"/>
      <c r="P99" s="198"/>
      <c r="Q99" s="198"/>
      <c r="R99" s="199"/>
      <c r="S99" s="161"/>
      <c r="T99" s="161"/>
      <c r="U99" s="198"/>
      <c r="V99" s="875"/>
      <c r="W99" s="903"/>
      <c r="X99" s="899"/>
      <c r="Y99" s="200"/>
      <c r="Z99" s="202"/>
      <c r="AA99" s="838"/>
      <c r="AB99" s="35"/>
      <c r="AC99" s="35"/>
      <c r="AD99" s="35"/>
      <c r="AE99" s="35"/>
      <c r="AF99" s="35"/>
      <c r="AG99" s="32"/>
      <c r="AH99" s="612"/>
      <c r="AI99" s="838"/>
      <c r="AJ99" s="838"/>
      <c r="AK99" s="838"/>
      <c r="AL99" s="838"/>
      <c r="AM99" s="838"/>
      <c r="AN99" s="838"/>
      <c r="AO99" s="838"/>
      <c r="AP99" s="838"/>
      <c r="AQ99" s="838"/>
      <c r="AR99" s="838"/>
      <c r="AS99" s="838"/>
      <c r="AT99" s="838"/>
    </row>
    <row r="100" spans="1:46" ht="13" x14ac:dyDescent="0.3">
      <c r="A100" s="157"/>
      <c r="B100" s="853"/>
      <c r="C100" s="842"/>
      <c r="D100" s="842"/>
      <c r="E100" s="842"/>
      <c r="F100" s="842"/>
      <c r="G100" s="204"/>
      <c r="H100" s="148"/>
      <c r="I100" s="885"/>
      <c r="J100" s="1209" t="s">
        <v>435</v>
      </c>
      <c r="K100" s="63"/>
      <c r="L100" s="205">
        <f>M100+N100</f>
        <v>421226.8</v>
      </c>
      <c r="M100" s="206">
        <v>210613.4</v>
      </c>
      <c r="N100" s="206">
        <v>210613.4</v>
      </c>
      <c r="O100" s="205">
        <f>P100+Q100</f>
        <v>351022.5</v>
      </c>
      <c r="P100" s="206">
        <v>175511.25</v>
      </c>
      <c r="Q100" s="206">
        <v>175511.25</v>
      </c>
      <c r="R100" s="154">
        <f>O100/10/30586</f>
        <v>1.1476574249656706</v>
      </c>
      <c r="S100" s="205" t="e">
        <f>U100+#REF!</f>
        <v>#REF!</v>
      </c>
      <c r="T100" s="205" t="e">
        <f>U100+#REF!</f>
        <v>#REF!</v>
      </c>
      <c r="U100" s="206">
        <v>210613.5</v>
      </c>
      <c r="V100" s="903">
        <f>W100+X100</f>
        <v>547576.19999999995</v>
      </c>
      <c r="W100" s="899">
        <v>273788.09999999998</v>
      </c>
      <c r="X100" s="899">
        <v>273788.09999999998</v>
      </c>
      <c r="Y100" s="208"/>
      <c r="Z100" s="910"/>
      <c r="AA100" s="877"/>
      <c r="AB100" s="35"/>
      <c r="AC100" s="209"/>
      <c r="AD100" s="209"/>
      <c r="AE100" s="35"/>
      <c r="AF100" s="35"/>
      <c r="AG100" s="32"/>
      <c r="AH100" s="838"/>
      <c r="AI100" s="838"/>
      <c r="AJ100" s="838"/>
      <c r="AK100" s="838"/>
      <c r="AL100" s="838"/>
      <c r="AM100" s="838"/>
      <c r="AN100" s="838"/>
      <c r="AO100" s="838"/>
      <c r="AP100" s="838"/>
      <c r="AQ100" s="838"/>
      <c r="AR100" s="838"/>
      <c r="AS100" s="838"/>
      <c r="AT100" s="838"/>
    </row>
    <row r="101" spans="1:46" ht="13" x14ac:dyDescent="0.3">
      <c r="A101" s="146"/>
      <c r="B101" s="853" t="s">
        <v>65</v>
      </c>
      <c r="C101" s="842"/>
      <c r="D101" s="842"/>
      <c r="E101" s="842"/>
      <c r="F101" s="842"/>
      <c r="G101" s="842"/>
      <c r="H101" s="842"/>
      <c r="I101" s="842"/>
      <c r="J101" s="1209" t="s">
        <v>436</v>
      </c>
      <c r="K101" s="842"/>
      <c r="L101" s="165">
        <f>M101+N101</f>
        <v>24480</v>
      </c>
      <c r="M101" s="198">
        <v>12240</v>
      </c>
      <c r="N101" s="198">
        <v>12240</v>
      </c>
      <c r="O101" s="165">
        <f>P101+Q101</f>
        <v>20620</v>
      </c>
      <c r="P101" s="198">
        <f>10200+110</f>
        <v>10310</v>
      </c>
      <c r="Q101" s="198">
        <f>10200+110</f>
        <v>10310</v>
      </c>
      <c r="R101" s="170">
        <f>O101/10/30586</f>
        <v>6.741646504936899E-2</v>
      </c>
      <c r="S101" s="165" t="e">
        <f>U101+#REF!</f>
        <v>#REF!</v>
      </c>
      <c r="T101" s="165" t="e">
        <f>U101+#REF!</f>
        <v>#REF!</v>
      </c>
      <c r="U101" s="198">
        <f>12240+260</f>
        <v>12500</v>
      </c>
      <c r="V101" s="903">
        <f>W101+X101</f>
        <v>42480</v>
      </c>
      <c r="W101" s="899">
        <f>12240+9000</f>
        <v>21240</v>
      </c>
      <c r="X101" s="899">
        <f>12240+9000</f>
        <v>21240</v>
      </c>
      <c r="Y101" s="208"/>
      <c r="Z101" s="276"/>
      <c r="AA101" s="210"/>
      <c r="AB101" s="35"/>
      <c r="AC101" s="847"/>
      <c r="AD101" s="847"/>
      <c r="AE101" s="35"/>
      <c r="AF101" s="35"/>
      <c r="AG101" s="32"/>
      <c r="AH101" s="612"/>
      <c r="AI101" s="838"/>
      <c r="AJ101" s="838"/>
      <c r="AK101" s="838"/>
      <c r="AL101" s="838"/>
      <c r="AM101" s="838"/>
      <c r="AN101" s="838"/>
      <c r="AO101" s="838"/>
      <c r="AP101" s="838"/>
      <c r="AQ101" s="838"/>
      <c r="AR101" s="838"/>
      <c r="AS101" s="838"/>
      <c r="AT101" s="838"/>
    </row>
    <row r="102" spans="1:46" ht="13.5" thickBot="1" x14ac:dyDescent="0.35">
      <c r="A102" s="181"/>
      <c r="B102" s="843" t="s">
        <v>67</v>
      </c>
      <c r="C102" s="844"/>
      <c r="D102" s="844"/>
      <c r="E102" s="844"/>
      <c r="F102" s="844"/>
      <c r="G102" s="844"/>
      <c r="H102" s="844"/>
      <c r="I102" s="844"/>
      <c r="J102" s="844"/>
      <c r="K102" s="844"/>
      <c r="L102" s="212">
        <f>M102+N102</f>
        <v>23000</v>
      </c>
      <c r="M102" s="213">
        <v>11500</v>
      </c>
      <c r="N102" s="213">
        <v>11500</v>
      </c>
      <c r="O102" s="212">
        <f>P102+Q102</f>
        <v>5748.84</v>
      </c>
      <c r="P102" s="213">
        <v>2874.42</v>
      </c>
      <c r="Q102" s="213">
        <v>2874.42</v>
      </c>
      <c r="R102" s="170">
        <f>O102/10/30586</f>
        <v>1.8795658144249005E-2</v>
      </c>
      <c r="S102" s="212" t="e">
        <f>U102+#REF!</f>
        <v>#REF!</v>
      </c>
      <c r="T102" s="212" t="e">
        <f>U102+#REF!</f>
        <v>#REF!</v>
      </c>
      <c r="U102" s="213">
        <v>3450</v>
      </c>
      <c r="V102" s="903">
        <f>W102+X102</f>
        <v>30000</v>
      </c>
      <c r="W102" s="214">
        <v>15000</v>
      </c>
      <c r="X102" s="214">
        <v>15000</v>
      </c>
      <c r="Y102" s="215"/>
      <c r="Z102" s="911"/>
      <c r="AA102" s="35"/>
      <c r="AB102" s="35"/>
      <c r="AC102" s="35"/>
      <c r="AD102" s="35"/>
      <c r="AE102" s="35"/>
      <c r="AF102" s="35"/>
      <c r="AG102" s="32"/>
      <c r="AH102" s="612"/>
      <c r="AI102" s="838"/>
      <c r="AJ102" s="838"/>
      <c r="AK102" s="838"/>
      <c r="AL102" s="838"/>
      <c r="AM102" s="838"/>
      <c r="AN102" s="838"/>
      <c r="AO102" s="838"/>
      <c r="AP102" s="838"/>
      <c r="AQ102" s="838"/>
      <c r="AR102" s="838"/>
      <c r="AS102" s="838"/>
      <c r="AT102" s="838"/>
    </row>
    <row r="103" spans="1:46" ht="18.75" customHeight="1" x14ac:dyDescent="0.3">
      <c r="A103" s="867"/>
      <c r="B103" s="870" t="s">
        <v>68</v>
      </c>
      <c r="C103" s="849"/>
      <c r="D103" s="841"/>
      <c r="E103" s="841"/>
      <c r="F103" s="849"/>
      <c r="G103" s="849"/>
      <c r="H103" s="849"/>
      <c r="I103" s="849"/>
      <c r="J103" s="894"/>
      <c r="K103" s="849"/>
      <c r="L103" s="217">
        <f>M103+N103</f>
        <v>3356042</v>
      </c>
      <c r="M103" s="872">
        <f>M104+M115+M122+M133</f>
        <v>1656715</v>
      </c>
      <c r="N103" s="872">
        <f>N104+N115+N122+N133</f>
        <v>1699327</v>
      </c>
      <c r="O103" s="217">
        <f>P103+Q103</f>
        <v>2957464.5</v>
      </c>
      <c r="P103" s="219">
        <f>P104+P110+P114+P115+P122+P133</f>
        <v>1549258.7500000002</v>
      </c>
      <c r="Q103" s="219">
        <f>Q104+Q110+Q114+Q115+Q122+Q133</f>
        <v>1408205.75</v>
      </c>
      <c r="R103" s="220">
        <f>R104+R110+R114+R115+R122+R133</f>
        <v>8.3779327143137383</v>
      </c>
      <c r="S103" s="217">
        <f>R103/R234*100</f>
        <v>32.37096950953535</v>
      </c>
      <c r="T103" s="221" t="e">
        <f>U103+#REF!</f>
        <v>#REF!</v>
      </c>
      <c r="U103" s="872">
        <f>U104+U110+U114+U115+U122+U133</f>
        <v>1809288.71</v>
      </c>
      <c r="V103" s="872">
        <f>V104+V110+V114+V115+V122+V133</f>
        <v>3787638</v>
      </c>
      <c r="W103" s="872">
        <f>W104+W110+W114+W115+W122+W133</f>
        <v>1870833</v>
      </c>
      <c r="X103" s="872">
        <f>X104+X110+X114+X115+X122+X133</f>
        <v>1916805</v>
      </c>
      <c r="Y103" s="222"/>
      <c r="Z103" s="1001"/>
      <c r="AA103" s="35"/>
      <c r="AB103" s="35"/>
      <c r="AC103" s="35"/>
      <c r="AD103" s="35"/>
      <c r="AE103" s="35"/>
      <c r="AF103" s="35"/>
      <c r="AG103" s="35"/>
      <c r="AH103" s="838"/>
      <c r="AI103" s="838"/>
      <c r="AJ103" s="838"/>
      <c r="AK103" s="838"/>
      <c r="AL103" s="838"/>
      <c r="AM103" s="838"/>
      <c r="AN103" s="838"/>
      <c r="AO103" s="838"/>
      <c r="AP103" s="838"/>
      <c r="AQ103" s="838"/>
      <c r="AR103" s="838"/>
      <c r="AS103" s="838"/>
      <c r="AT103" s="838"/>
    </row>
    <row r="104" spans="1:46" ht="13" x14ac:dyDescent="0.3">
      <c r="A104" s="891"/>
      <c r="B104" s="851" t="s">
        <v>69</v>
      </c>
      <c r="C104" s="842"/>
      <c r="D104" s="842"/>
      <c r="E104" s="842"/>
      <c r="F104" s="842"/>
      <c r="G104" s="842"/>
      <c r="H104" s="910"/>
      <c r="I104" s="898"/>
      <c r="J104" s="890"/>
      <c r="K104" s="898"/>
      <c r="L104" s="224">
        <v>788890</v>
      </c>
      <c r="M104" s="225">
        <f>M106</f>
        <v>394445</v>
      </c>
      <c r="N104" s="225">
        <f>N106</f>
        <v>394445</v>
      </c>
      <c r="O104" s="224">
        <f>P104+Q104</f>
        <v>647914</v>
      </c>
      <c r="P104" s="225">
        <f>P106</f>
        <v>323957</v>
      </c>
      <c r="Q104" s="225">
        <f>Q106</f>
        <v>323957</v>
      </c>
      <c r="R104" s="226">
        <f>O104/10/30586</f>
        <v>2.1183351860328257</v>
      </c>
      <c r="S104" s="224" t="e">
        <f>U104+#REF!</f>
        <v>#REF!</v>
      </c>
      <c r="T104" s="224" t="e">
        <f>U104+#REF!</f>
        <v>#REF!</v>
      </c>
      <c r="U104" s="225">
        <f>U106</f>
        <v>407794</v>
      </c>
      <c r="V104" s="903">
        <f>W104+X104</f>
        <v>983006</v>
      </c>
      <c r="W104" s="854">
        <f>W106</f>
        <v>491503</v>
      </c>
      <c r="X104" s="854">
        <f>X106</f>
        <v>491503</v>
      </c>
      <c r="Y104" s="228"/>
      <c r="Z104" s="1002"/>
      <c r="AA104" s="229"/>
      <c r="AB104" s="35"/>
      <c r="AC104" s="35"/>
      <c r="AD104" s="35"/>
      <c r="AE104" s="35"/>
      <c r="AF104" s="35"/>
      <c r="AG104" s="230"/>
      <c r="AH104" s="32"/>
      <c r="AI104" s="838"/>
      <c r="AJ104" s="838"/>
      <c r="AK104" s="838"/>
      <c r="AL104" s="838"/>
      <c r="AM104" s="838"/>
      <c r="AN104" s="838"/>
      <c r="AO104" s="838"/>
      <c r="AP104" s="838"/>
      <c r="AQ104" s="838"/>
      <c r="AR104" s="838"/>
      <c r="AS104" s="838"/>
      <c r="AT104" s="838"/>
    </row>
    <row r="105" spans="1:46" ht="13" x14ac:dyDescent="0.3">
      <c r="A105" s="865"/>
      <c r="B105" s="853" t="s">
        <v>70</v>
      </c>
      <c r="C105" s="842"/>
      <c r="D105" s="842"/>
      <c r="E105" s="842"/>
      <c r="F105" s="842"/>
      <c r="G105" s="842"/>
      <c r="H105" s="842"/>
      <c r="I105" s="842"/>
      <c r="J105" s="864"/>
      <c r="K105" s="842"/>
      <c r="L105" s="231"/>
      <c r="M105" s="198"/>
      <c r="N105" s="198"/>
      <c r="O105" s="231"/>
      <c r="P105" s="198"/>
      <c r="Q105" s="198"/>
      <c r="R105" s="232"/>
      <c r="S105" s="231"/>
      <c r="T105" s="231"/>
      <c r="U105" s="198"/>
      <c r="V105" s="875"/>
      <c r="W105" s="231"/>
      <c r="X105" s="233"/>
      <c r="Y105" s="208"/>
      <c r="Z105" s="1003"/>
      <c r="AA105" s="885"/>
      <c r="AB105" s="35"/>
      <c r="AC105" s="35"/>
      <c r="AD105" s="35"/>
      <c r="AE105" s="35"/>
      <c r="AF105" s="35"/>
      <c r="AG105" s="234"/>
      <c r="AH105" s="838"/>
      <c r="AI105" s="838"/>
      <c r="AJ105" s="838"/>
      <c r="AK105" s="838"/>
      <c r="AL105" s="838"/>
      <c r="AM105" s="838"/>
      <c r="AN105" s="838"/>
      <c r="AO105" s="838"/>
      <c r="AP105" s="838"/>
      <c r="AQ105" s="838"/>
      <c r="AR105" s="838"/>
      <c r="AS105" s="838"/>
      <c r="AT105" s="838"/>
    </row>
    <row r="106" spans="1:46" ht="13" x14ac:dyDescent="0.3">
      <c r="A106" s="869"/>
      <c r="B106" s="853" t="s">
        <v>71</v>
      </c>
      <c r="C106" s="842"/>
      <c r="D106" s="842"/>
      <c r="E106" s="842"/>
      <c r="F106" s="842"/>
      <c r="G106" s="842"/>
      <c r="H106" s="842"/>
      <c r="I106" s="842"/>
      <c r="J106" s="864"/>
      <c r="K106" s="842"/>
      <c r="L106" s="235">
        <f>M106+N106</f>
        <v>788890</v>
      </c>
      <c r="M106" s="236">
        <v>394445</v>
      </c>
      <c r="N106" s="236">
        <v>394445</v>
      </c>
      <c r="O106" s="165">
        <f>P106+Q106</f>
        <v>647914</v>
      </c>
      <c r="P106" s="236">
        <f>449940-P258</f>
        <v>323957</v>
      </c>
      <c r="Q106" s="236">
        <f>449940-Q258</f>
        <v>323957</v>
      </c>
      <c r="R106" s="170">
        <f>O106/10/30586</f>
        <v>2.1183351860328257</v>
      </c>
      <c r="S106" s="165" t="e">
        <f>U106+#REF!</f>
        <v>#REF!</v>
      </c>
      <c r="T106" s="165" t="e">
        <f>U106+#REF!</f>
        <v>#REF!</v>
      </c>
      <c r="U106" s="236">
        <f>539928-U258</f>
        <v>407794</v>
      </c>
      <c r="V106" s="903">
        <f>W106+X106</f>
        <v>983006</v>
      </c>
      <c r="W106" s="1006">
        <v>491503</v>
      </c>
      <c r="X106" s="1006">
        <v>491503</v>
      </c>
      <c r="Y106" s="237"/>
      <c r="Z106" s="1004"/>
      <c r="AA106" s="238"/>
      <c r="AB106" s="847"/>
      <c r="AC106" s="35"/>
      <c r="AD106" s="35"/>
      <c r="AE106" s="35"/>
      <c r="AF106" s="35"/>
      <c r="AG106" s="239"/>
      <c r="AH106" s="838"/>
      <c r="AI106" s="838"/>
      <c r="AJ106" s="838"/>
      <c r="AK106" s="838"/>
      <c r="AL106" s="838"/>
      <c r="AM106" s="838"/>
      <c r="AN106" s="838"/>
      <c r="AO106" s="838"/>
      <c r="AP106" s="838"/>
      <c r="AQ106" s="838"/>
      <c r="AR106" s="838"/>
      <c r="AS106" s="838"/>
      <c r="AT106" s="838"/>
    </row>
    <row r="107" spans="1:46" ht="13" x14ac:dyDescent="0.3">
      <c r="A107" s="869"/>
      <c r="B107" s="853" t="s">
        <v>72</v>
      </c>
      <c r="C107" s="842"/>
      <c r="D107" s="842"/>
      <c r="E107" s="842"/>
      <c r="F107" s="842"/>
      <c r="G107" s="842"/>
      <c r="H107" s="842"/>
      <c r="I107" s="842"/>
      <c r="J107" s="864"/>
      <c r="K107" s="842"/>
      <c r="L107" s="165"/>
      <c r="M107" s="198"/>
      <c r="N107" s="198"/>
      <c r="O107" s="165"/>
      <c r="P107" s="198"/>
      <c r="Q107" s="198"/>
      <c r="R107" s="240"/>
      <c r="S107" s="165" t="s">
        <v>66</v>
      </c>
      <c r="T107" s="165"/>
      <c r="U107" s="198"/>
      <c r="V107" s="875"/>
      <c r="W107" s="875"/>
      <c r="X107" s="875"/>
      <c r="Y107" s="200"/>
      <c r="Z107" s="811"/>
      <c r="AA107" s="243"/>
      <c r="AB107" s="847"/>
      <c r="AC107" s="35"/>
      <c r="AD107" s="35"/>
      <c r="AE107" s="35"/>
      <c r="AF107" s="35"/>
      <c r="AG107" s="53"/>
      <c r="AH107" s="860"/>
      <c r="AI107" s="838"/>
      <c r="AJ107" s="838"/>
      <c r="AK107" s="838"/>
      <c r="AL107" s="838"/>
      <c r="AM107" s="838"/>
      <c r="AN107" s="838"/>
      <c r="AO107" s="838"/>
      <c r="AP107" s="838"/>
      <c r="AQ107" s="838"/>
      <c r="AR107" s="838"/>
      <c r="AS107" s="838"/>
      <c r="AT107" s="838"/>
    </row>
    <row r="108" spans="1:46" ht="13.5" customHeight="1" x14ac:dyDescent="0.3">
      <c r="A108" s="865"/>
      <c r="B108" s="853" t="s">
        <v>73</v>
      </c>
      <c r="C108" s="842"/>
      <c r="D108" s="842"/>
      <c r="E108" s="842"/>
      <c r="F108" s="847"/>
      <c r="G108" s="842"/>
      <c r="H108" s="842"/>
      <c r="I108" s="842"/>
      <c r="J108" s="864"/>
      <c r="K108" s="842"/>
      <c r="L108" s="165"/>
      <c r="M108" s="244"/>
      <c r="N108" s="245"/>
      <c r="O108" s="165"/>
      <c r="P108" s="244"/>
      <c r="Q108" s="245"/>
      <c r="R108" s="240"/>
      <c r="S108" s="165"/>
      <c r="T108" s="246"/>
      <c r="U108" s="245"/>
      <c r="V108" s="906"/>
      <c r="W108" s="906"/>
      <c r="X108" s="245"/>
      <c r="Y108" s="248"/>
      <c r="Z108" s="811"/>
      <c r="AA108" s="998"/>
      <c r="AB108" s="839"/>
      <c r="AC108" s="29"/>
      <c r="AD108" s="29"/>
      <c r="AE108" s="838"/>
      <c r="AF108" s="838"/>
      <c r="AG108" s="35"/>
      <c r="AH108" s="838"/>
      <c r="AI108" s="838"/>
      <c r="AJ108" s="838"/>
      <c r="AK108" s="838"/>
      <c r="AL108" s="838"/>
      <c r="AM108" s="838"/>
      <c r="AN108" s="838"/>
      <c r="AO108" s="838"/>
      <c r="AP108" s="838"/>
      <c r="AQ108" s="838"/>
      <c r="AR108" s="838"/>
      <c r="AS108" s="838"/>
      <c r="AT108" s="838"/>
    </row>
    <row r="109" spans="1:46" ht="13" hidden="1" customHeight="1" x14ac:dyDescent="0.3">
      <c r="A109" s="865"/>
      <c r="B109" s="858"/>
      <c r="C109" s="840"/>
      <c r="D109" s="840"/>
      <c r="E109" s="840"/>
      <c r="F109" s="840"/>
      <c r="G109" s="840"/>
      <c r="H109" s="840"/>
      <c r="I109" s="840"/>
      <c r="J109" s="916"/>
      <c r="K109" s="249"/>
      <c r="L109" s="250"/>
      <c r="M109" s="251"/>
      <c r="N109" s="252"/>
      <c r="O109" s="250"/>
      <c r="P109" s="251"/>
      <c r="Q109" s="252"/>
      <c r="R109" s="253"/>
      <c r="S109" s="250"/>
      <c r="T109" s="254"/>
      <c r="U109" s="252"/>
      <c r="V109" s="884"/>
      <c r="W109" s="884"/>
      <c r="X109" s="252"/>
      <c r="Y109" s="200"/>
      <c r="Z109" s="1005"/>
      <c r="AA109" s="999"/>
      <c r="AB109" s="262"/>
      <c r="AC109" s="838"/>
      <c r="AD109" s="838"/>
      <c r="AE109" s="838"/>
      <c r="AF109" s="838"/>
      <c r="AG109" s="35"/>
      <c r="AH109" s="29"/>
      <c r="AI109" s="838"/>
      <c r="AJ109" s="838"/>
      <c r="AK109" s="838"/>
      <c r="AL109" s="838"/>
      <c r="AM109" s="838"/>
      <c r="AN109" s="838"/>
      <c r="AO109" s="838"/>
      <c r="AP109" s="838"/>
      <c r="AQ109" s="838"/>
      <c r="AR109" s="838"/>
      <c r="AS109" s="838"/>
      <c r="AT109" s="838"/>
    </row>
    <row r="110" spans="1:46" ht="15.5" x14ac:dyDescent="0.35">
      <c r="A110" s="865"/>
      <c r="B110" s="917" t="s">
        <v>416</v>
      </c>
      <c r="C110" s="873"/>
      <c r="D110" s="873"/>
      <c r="E110" s="873"/>
      <c r="F110" s="874"/>
      <c r="G110" s="873"/>
      <c r="H110" s="873"/>
      <c r="I110" s="873"/>
      <c r="J110" s="918"/>
      <c r="K110" s="873"/>
      <c r="L110" s="165">
        <f>M110+N110</f>
        <v>60000</v>
      </c>
      <c r="M110" s="257">
        <v>30000</v>
      </c>
      <c r="N110" s="258">
        <v>30000</v>
      </c>
      <c r="O110" s="259">
        <f t="shared" ref="O110:O120" si="4">P110+Q110</f>
        <v>7987.76</v>
      </c>
      <c r="P110" s="260">
        <v>7987.76</v>
      </c>
      <c r="Q110" s="260">
        <v>0</v>
      </c>
      <c r="R110" s="170">
        <f>O110/10/30586</f>
        <v>2.6115739227097368E-2</v>
      </c>
      <c r="S110" s="165" t="e">
        <f>U110+#REF!</f>
        <v>#REF!</v>
      </c>
      <c r="T110" s="165" t="e">
        <f>U110+#REF!</f>
        <v>#REF!</v>
      </c>
      <c r="U110" s="198">
        <v>9585.31</v>
      </c>
      <c r="V110" s="1215">
        <f>W110+X110</f>
        <v>119000</v>
      </c>
      <c r="W110" s="225">
        <f>W111+W112+W113</f>
        <v>59500</v>
      </c>
      <c r="X110" s="225">
        <f>X111+X112+X113</f>
        <v>59500</v>
      </c>
      <c r="Y110" s="261"/>
      <c r="Z110" s="896" t="s">
        <v>349</v>
      </c>
      <c r="AA110" s="35"/>
      <c r="AB110" s="262"/>
      <c r="AC110" s="838"/>
      <c r="AD110" s="838"/>
      <c r="AE110" s="838"/>
      <c r="AF110" s="838"/>
      <c r="AG110" s="35"/>
      <c r="AH110" s="35"/>
      <c r="AI110" s="35"/>
      <c r="AJ110" s="35"/>
      <c r="AK110" s="838"/>
      <c r="AL110" s="838"/>
      <c r="AM110" s="838"/>
      <c r="AN110" s="838"/>
      <c r="AO110" s="838"/>
      <c r="AP110" s="838"/>
      <c r="AQ110" s="838"/>
      <c r="AR110" s="838"/>
      <c r="AS110" s="838"/>
      <c r="AT110" s="838"/>
    </row>
    <row r="111" spans="1:46" ht="15.5" x14ac:dyDescent="0.35">
      <c r="A111" s="865"/>
      <c r="B111" s="1834" t="s">
        <v>417</v>
      </c>
      <c r="C111" s="1813"/>
      <c r="D111" s="1813"/>
      <c r="E111" s="1813"/>
      <c r="F111" s="1813"/>
      <c r="G111" s="1813"/>
      <c r="H111" s="1813"/>
      <c r="I111" s="1813"/>
      <c r="J111" s="1814"/>
      <c r="K111" s="873"/>
      <c r="L111" s="165"/>
      <c r="M111" s="257"/>
      <c r="N111" s="258"/>
      <c r="O111" s="259"/>
      <c r="P111" s="260"/>
      <c r="Q111" s="260"/>
      <c r="R111" s="170"/>
      <c r="S111" s="165"/>
      <c r="T111" s="165"/>
      <c r="U111" s="198"/>
      <c r="V111" s="1216">
        <f>W111+X111</f>
        <v>49000</v>
      </c>
      <c r="W111" s="1006">
        <v>24500</v>
      </c>
      <c r="X111" s="1006">
        <v>24500</v>
      </c>
      <c r="Y111" s="261"/>
      <c r="Z111" s="896" t="s">
        <v>404</v>
      </c>
      <c r="AA111" s="35"/>
      <c r="AB111" s="262"/>
      <c r="AC111" s="838"/>
      <c r="AD111" s="838"/>
      <c r="AE111" s="838"/>
      <c r="AF111" s="838"/>
      <c r="AG111" s="35"/>
      <c r="AH111" s="35"/>
      <c r="AI111" s="35"/>
      <c r="AJ111" s="35"/>
      <c r="AK111" s="838"/>
      <c r="AL111" s="838"/>
      <c r="AM111" s="838"/>
      <c r="AN111" s="838"/>
      <c r="AO111" s="838"/>
      <c r="AP111" s="838"/>
      <c r="AQ111" s="838"/>
      <c r="AR111" s="838"/>
      <c r="AS111" s="838"/>
      <c r="AT111" s="838"/>
    </row>
    <row r="112" spans="1:46" ht="15.5" x14ac:dyDescent="0.35">
      <c r="A112" s="865"/>
      <c r="B112" s="1834" t="s">
        <v>418</v>
      </c>
      <c r="C112" s="1813"/>
      <c r="D112" s="1813"/>
      <c r="E112" s="1813"/>
      <c r="F112" s="1813"/>
      <c r="G112" s="1813"/>
      <c r="H112" s="1813"/>
      <c r="I112" s="1813"/>
      <c r="J112" s="1814"/>
      <c r="K112" s="873"/>
      <c r="L112" s="165"/>
      <c r="M112" s="257"/>
      <c r="N112" s="258"/>
      <c r="O112" s="259"/>
      <c r="P112" s="260"/>
      <c r="Q112" s="260"/>
      <c r="R112" s="170"/>
      <c r="S112" s="165"/>
      <c r="T112" s="165"/>
      <c r="U112" s="198"/>
      <c r="V112" s="1216">
        <f>W112+X112</f>
        <v>30000</v>
      </c>
      <c r="W112" s="1006">
        <v>15000</v>
      </c>
      <c r="X112" s="1006">
        <v>15000</v>
      </c>
      <c r="Y112" s="261"/>
      <c r="Z112" s="896"/>
      <c r="AA112" s="35"/>
      <c r="AB112" s="262"/>
      <c r="AC112" s="838"/>
      <c r="AD112" s="838"/>
      <c r="AE112" s="838"/>
      <c r="AF112" s="838"/>
      <c r="AG112" s="35"/>
      <c r="AH112" s="35"/>
      <c r="AI112" s="35"/>
      <c r="AJ112" s="35"/>
      <c r="AK112" s="838"/>
      <c r="AL112" s="838"/>
      <c r="AM112" s="838"/>
      <c r="AN112" s="838"/>
      <c r="AO112" s="838"/>
      <c r="AP112" s="838"/>
      <c r="AQ112" s="838"/>
      <c r="AR112" s="838"/>
      <c r="AS112" s="838"/>
      <c r="AT112" s="838"/>
    </row>
    <row r="113" spans="1:46" ht="15.5" x14ac:dyDescent="0.35">
      <c r="A113" s="865"/>
      <c r="B113" s="1834" t="s">
        <v>402</v>
      </c>
      <c r="C113" s="1813"/>
      <c r="D113" s="1813"/>
      <c r="E113" s="1813"/>
      <c r="F113" s="1813"/>
      <c r="G113" s="1813"/>
      <c r="H113" s="1813"/>
      <c r="I113" s="1813"/>
      <c r="J113" s="1814"/>
      <c r="K113" s="873"/>
      <c r="L113" s="165"/>
      <c r="M113" s="257"/>
      <c r="N113" s="258"/>
      <c r="O113" s="259"/>
      <c r="P113" s="260"/>
      <c r="Q113" s="260"/>
      <c r="R113" s="170"/>
      <c r="S113" s="165"/>
      <c r="T113" s="165"/>
      <c r="U113" s="198"/>
      <c r="V113" s="1213">
        <f>W113+X113</f>
        <v>40000</v>
      </c>
      <c r="W113" s="1214">
        <v>20000</v>
      </c>
      <c r="X113" s="1214">
        <v>20000</v>
      </c>
      <c r="Y113" s="261"/>
      <c r="Z113" s="896" t="s">
        <v>403</v>
      </c>
      <c r="AA113" s="35"/>
      <c r="AB113" s="262"/>
      <c r="AC113" s="838"/>
      <c r="AD113" s="838"/>
      <c r="AE113" s="838"/>
      <c r="AF113" s="838"/>
      <c r="AG113" s="35"/>
      <c r="AH113" s="35"/>
      <c r="AI113" s="35"/>
      <c r="AJ113" s="35"/>
      <c r="AK113" s="838"/>
      <c r="AL113" s="838"/>
      <c r="AM113" s="838"/>
      <c r="AN113" s="838"/>
      <c r="AO113" s="838"/>
      <c r="AP113" s="838"/>
      <c r="AQ113" s="838"/>
      <c r="AR113" s="838"/>
      <c r="AS113" s="838"/>
      <c r="AT113" s="838"/>
    </row>
    <row r="114" spans="1:46" ht="13.5" thickBot="1" x14ac:dyDescent="0.35">
      <c r="A114" s="865"/>
      <c r="B114" s="914" t="s">
        <v>74</v>
      </c>
      <c r="C114" s="915"/>
      <c r="D114" s="915"/>
      <c r="E114" s="915"/>
      <c r="F114" s="915"/>
      <c r="G114" s="915"/>
      <c r="H114" s="915"/>
      <c r="I114" s="915"/>
      <c r="J114" s="919"/>
      <c r="K114" s="263"/>
      <c r="L114" s="165">
        <v>10000</v>
      </c>
      <c r="M114" s="198"/>
      <c r="N114" s="264"/>
      <c r="O114" s="165">
        <f t="shared" si="4"/>
        <v>14509</v>
      </c>
      <c r="P114" s="198">
        <f>2254.5+5000</f>
        <v>7254.5</v>
      </c>
      <c r="Q114" s="875">
        <f>2254.5+5000</f>
        <v>7254.5</v>
      </c>
      <c r="R114" s="170">
        <f>O114/10/30586</f>
        <v>4.7436735761459493E-2</v>
      </c>
      <c r="S114" s="165" t="e">
        <f>U114+#REF!</f>
        <v>#REF!</v>
      </c>
      <c r="T114" s="265" t="e">
        <f>U114+#REF!</f>
        <v>#REF!</v>
      </c>
      <c r="U114" s="875">
        <v>8705.4</v>
      </c>
      <c r="V114" s="925">
        <f>W114+X114</f>
        <v>6000</v>
      </c>
      <c r="W114" s="908">
        <v>3000</v>
      </c>
      <c r="X114" s="908">
        <v>3000</v>
      </c>
      <c r="Y114" s="200"/>
      <c r="Z114" s="63" t="s">
        <v>350</v>
      </c>
      <c r="AA114" s="35"/>
      <c r="AB114" s="262"/>
      <c r="AC114" s="838"/>
      <c r="AD114" s="838"/>
      <c r="AE114" s="838"/>
      <c r="AF114" s="838"/>
      <c r="AG114" s="278"/>
      <c r="AH114" s="838"/>
      <c r="AI114" s="838"/>
      <c r="AJ114" s="838"/>
      <c r="AK114" s="838"/>
      <c r="AL114" s="838"/>
      <c r="AM114" s="838"/>
      <c r="AN114" s="838"/>
      <c r="AO114" s="838"/>
      <c r="AP114" s="838"/>
      <c r="AQ114" s="838"/>
      <c r="AR114" s="838"/>
      <c r="AS114" s="838"/>
      <c r="AT114" s="838"/>
    </row>
    <row r="115" spans="1:46" ht="13" x14ac:dyDescent="0.3">
      <c r="A115" s="838"/>
      <c r="B115" s="923" t="s">
        <v>75</v>
      </c>
      <c r="C115" s="841"/>
      <c r="D115" s="849"/>
      <c r="E115" s="841"/>
      <c r="F115" s="841"/>
      <c r="G115" s="841"/>
      <c r="H115" s="841"/>
      <c r="I115" s="841"/>
      <c r="J115" s="880"/>
      <c r="K115" s="266"/>
      <c r="L115" s="224">
        <f>M115+N115</f>
        <v>1100420</v>
      </c>
      <c r="M115" s="854">
        <f>M116+M118+M119+M120</f>
        <v>518542</v>
      </c>
      <c r="N115" s="854">
        <f>N116+N118+N119+N120</f>
        <v>581878</v>
      </c>
      <c r="O115" s="224">
        <f t="shared" si="4"/>
        <v>931928.81</v>
      </c>
      <c r="P115" s="854">
        <f>P116+P118+P119+P120</f>
        <v>444967.34</v>
      </c>
      <c r="Q115" s="854">
        <f>Q116+Q118+Q119+Q120</f>
        <v>486961.47</v>
      </c>
      <c r="R115" s="226">
        <f>R116+R118+R119+R120</f>
        <v>3.0469129994114956</v>
      </c>
      <c r="S115" s="224" t="e">
        <f>U115+#REF!</f>
        <v>#REF!</v>
      </c>
      <c r="T115" s="224" t="e">
        <f>U115+#REF!</f>
        <v>#REF!</v>
      </c>
      <c r="U115" s="854">
        <f>U116+U118+U119+U120</f>
        <v>534814</v>
      </c>
      <c r="V115" s="846">
        <f>V116+V118+V119+V120+V117</f>
        <v>1163420</v>
      </c>
      <c r="W115" s="846">
        <f>W116+W118+W119+W120+W117</f>
        <v>550042</v>
      </c>
      <c r="X115" s="846">
        <f>X116+X118+X119+X120+X117</f>
        <v>613378</v>
      </c>
      <c r="Y115" s="267"/>
      <c r="Z115" s="268"/>
      <c r="AA115" s="1000"/>
      <c r="AB115" s="838"/>
      <c r="AC115" s="838"/>
      <c r="AD115" s="838"/>
      <c r="AE115" s="838"/>
      <c r="AF115" s="838"/>
      <c r="AG115" s="35"/>
      <c r="AH115" s="308"/>
      <c r="AI115" s="838"/>
      <c r="AJ115" s="838"/>
      <c r="AK115" s="838"/>
      <c r="AL115" s="838"/>
      <c r="AM115" s="838"/>
      <c r="AN115" s="838"/>
      <c r="AO115" s="838"/>
      <c r="AP115" s="838"/>
      <c r="AQ115" s="838"/>
      <c r="AR115" s="838"/>
      <c r="AS115" s="838"/>
      <c r="AT115" s="838"/>
    </row>
    <row r="116" spans="1:46" ht="13" x14ac:dyDescent="0.3">
      <c r="A116" s="920"/>
      <c r="B116" s="853" t="s">
        <v>76</v>
      </c>
      <c r="C116" s="842"/>
      <c r="D116" s="842"/>
      <c r="E116" s="842"/>
      <c r="F116" s="847"/>
      <c r="G116" s="842"/>
      <c r="H116" s="842"/>
      <c r="I116" s="842"/>
      <c r="J116" s="864"/>
      <c r="K116" s="269"/>
      <c r="L116" s="165">
        <f>M116+N116</f>
        <v>662376</v>
      </c>
      <c r="M116" s="270">
        <v>331188</v>
      </c>
      <c r="N116" s="270">
        <v>331188</v>
      </c>
      <c r="O116" s="165">
        <f t="shared" si="4"/>
        <v>577079</v>
      </c>
      <c r="P116" s="270">
        <f>275990+3850+25+10000</f>
        <v>289865</v>
      </c>
      <c r="Q116" s="270">
        <f>275990+3850+7349+25</f>
        <v>287214</v>
      </c>
      <c r="R116" s="170">
        <f>O116/10/30586</f>
        <v>1.8867423003988752</v>
      </c>
      <c r="S116" s="165" t="e">
        <f>U116+#REF!</f>
        <v>#REF!</v>
      </c>
      <c r="T116" s="165" t="e">
        <f>U116+#REF!</f>
        <v>#REF!</v>
      </c>
      <c r="U116" s="270">
        <f>331188+16632</f>
        <v>347820</v>
      </c>
      <c r="V116" s="1157">
        <f>W116+X116</f>
        <v>662376</v>
      </c>
      <c r="W116" s="313">
        <v>331188</v>
      </c>
      <c r="X116" s="834">
        <v>331188</v>
      </c>
      <c r="Y116" s="271"/>
      <c r="Z116" s="1827"/>
      <c r="AA116" s="1805"/>
      <c r="AB116" s="1805"/>
      <c r="AC116" s="1805"/>
      <c r="AD116" s="1805"/>
      <c r="AE116" s="1805"/>
      <c r="AF116" s="1805"/>
      <c r="AG116" s="1805"/>
      <c r="AH116" s="1805"/>
      <c r="AI116" s="1805"/>
      <c r="AJ116" s="1805"/>
      <c r="AK116" s="838"/>
      <c r="AL116" s="838"/>
      <c r="AM116" s="838"/>
      <c r="AN116" s="838"/>
      <c r="AO116" s="838"/>
      <c r="AP116" s="838"/>
      <c r="AQ116" s="838"/>
      <c r="AR116" s="838"/>
      <c r="AS116" s="838"/>
      <c r="AT116" s="838"/>
    </row>
    <row r="117" spans="1:46" ht="15.5" x14ac:dyDescent="0.35">
      <c r="A117" s="921"/>
      <c r="B117" s="891" t="s">
        <v>77</v>
      </c>
      <c r="C117" s="896"/>
      <c r="D117" s="896"/>
      <c r="E117" s="842"/>
      <c r="F117" s="847"/>
      <c r="G117" s="842"/>
      <c r="H117" s="842"/>
      <c r="I117" s="842"/>
      <c r="J117" s="864"/>
      <c r="K117" s="269"/>
      <c r="L117" s="165"/>
      <c r="M117" s="270"/>
      <c r="N117" s="270"/>
      <c r="O117" s="165"/>
      <c r="P117" s="270"/>
      <c r="Q117" s="270"/>
      <c r="R117" s="170"/>
      <c r="S117" s="165"/>
      <c r="T117" s="165"/>
      <c r="U117" s="270"/>
      <c r="V117" s="1217">
        <f>W117+X117</f>
        <v>100000</v>
      </c>
      <c r="W117" s="1226">
        <v>50000</v>
      </c>
      <c r="X117" s="1290">
        <v>50000</v>
      </c>
      <c r="Y117" s="272">
        <v>83264</v>
      </c>
      <c r="Z117" s="1828"/>
      <c r="AA117" s="1829"/>
      <c r="AB117" s="1829"/>
      <c r="AC117" s="1829"/>
      <c r="AD117" s="1829"/>
      <c r="AE117" s="1829"/>
      <c r="AF117" s="1829"/>
      <c r="AG117" s="1829"/>
      <c r="AH117" s="1829"/>
      <c r="AI117" s="1829"/>
      <c r="AJ117" s="1829"/>
      <c r="AK117" s="838"/>
      <c r="AL117" s="838"/>
      <c r="AM117" s="838"/>
      <c r="AN117" s="838"/>
      <c r="AO117" s="838"/>
      <c r="AP117" s="838"/>
      <c r="AQ117" s="838"/>
      <c r="AR117" s="838"/>
      <c r="AS117" s="838"/>
      <c r="AT117" s="838"/>
    </row>
    <row r="118" spans="1:46" ht="13" x14ac:dyDescent="0.3">
      <c r="A118" s="922"/>
      <c r="B118" s="865" t="s">
        <v>78</v>
      </c>
      <c r="C118" s="842"/>
      <c r="D118" s="842"/>
      <c r="E118" s="842"/>
      <c r="F118" s="842"/>
      <c r="G118" s="842"/>
      <c r="H118" s="842"/>
      <c r="I118" s="842"/>
      <c r="J118" s="864"/>
      <c r="K118" s="864"/>
      <c r="L118" s="165">
        <f>M118+N118</f>
        <v>356544</v>
      </c>
      <c r="M118" s="198">
        <v>146604</v>
      </c>
      <c r="N118" s="198">
        <v>209940</v>
      </c>
      <c r="O118" s="165">
        <f t="shared" si="4"/>
        <v>297120</v>
      </c>
      <c r="P118" s="198">
        <v>122170</v>
      </c>
      <c r="Q118" s="198">
        <v>174950</v>
      </c>
      <c r="R118" s="170">
        <f>O118/10/30586</f>
        <v>0.97142483489178055</v>
      </c>
      <c r="S118" s="165" t="e">
        <f>U118+#REF!</f>
        <v>#REF!</v>
      </c>
      <c r="T118" s="165" t="e">
        <f>U118+#REF!</f>
        <v>#REF!</v>
      </c>
      <c r="U118" s="198">
        <v>146604</v>
      </c>
      <c r="V118" s="903">
        <f>W118+X118</f>
        <v>356544</v>
      </c>
      <c r="W118" s="233">
        <v>146604</v>
      </c>
      <c r="X118" s="418">
        <v>209940</v>
      </c>
      <c r="Y118" s="275">
        <v>209940</v>
      </c>
      <c r="Z118" s="304"/>
      <c r="AA118" s="838"/>
      <c r="AB118" s="838"/>
      <c r="AC118" s="838"/>
      <c r="AD118" s="838"/>
      <c r="AE118" s="35"/>
      <c r="AF118" s="838"/>
      <c r="AG118" s="278"/>
      <c r="AH118" s="838"/>
      <c r="AI118" s="838"/>
      <c r="AJ118" s="838"/>
      <c r="AK118" s="838"/>
      <c r="AL118" s="838"/>
      <c r="AM118" s="838"/>
      <c r="AN118" s="838"/>
      <c r="AO118" s="838"/>
      <c r="AP118" s="838"/>
      <c r="AQ118" s="838"/>
      <c r="AR118" s="838"/>
      <c r="AS118" s="838"/>
      <c r="AT118" s="838"/>
    </row>
    <row r="119" spans="1:46" x14ac:dyDescent="0.25">
      <c r="A119" s="865"/>
      <c r="B119" s="853" t="s">
        <v>79</v>
      </c>
      <c r="C119" s="842"/>
      <c r="D119" s="842"/>
      <c r="E119" s="842"/>
      <c r="F119" s="842"/>
      <c r="G119" s="842"/>
      <c r="H119" s="842"/>
      <c r="I119" s="842"/>
      <c r="J119" s="864"/>
      <c r="K119" s="864"/>
      <c r="L119" s="165">
        <f>M119+N119</f>
        <v>63000</v>
      </c>
      <c r="M119" s="198">
        <v>31500</v>
      </c>
      <c r="N119" s="198">
        <v>31500</v>
      </c>
      <c r="O119" s="165">
        <f t="shared" si="4"/>
        <v>51429.81</v>
      </c>
      <c r="P119" s="198">
        <v>29782.34</v>
      </c>
      <c r="Q119" s="198">
        <f>5956.47+15691</f>
        <v>21647.47</v>
      </c>
      <c r="R119" s="170">
        <f>O119/10/30586</f>
        <v>0.16814820506113909</v>
      </c>
      <c r="S119" s="165" t="e">
        <f>U119+#REF!</f>
        <v>#REF!</v>
      </c>
      <c r="T119" s="165" t="e">
        <f>U119+#REF!</f>
        <v>#REF!</v>
      </c>
      <c r="U119" s="198">
        <v>35740</v>
      </c>
      <c r="V119" s="903">
        <f>W119+X119</f>
        <v>40000</v>
      </c>
      <c r="W119" s="875">
        <v>20000</v>
      </c>
      <c r="X119" s="901">
        <v>20000</v>
      </c>
      <c r="Y119" s="252">
        <v>26000</v>
      </c>
      <c r="Z119" s="277"/>
      <c r="AA119" s="838"/>
      <c r="AB119" s="838"/>
      <c r="AC119" s="838"/>
      <c r="AD119" s="838"/>
      <c r="AE119" s="35"/>
      <c r="AF119" s="838"/>
      <c r="AG119" s="278"/>
      <c r="AH119" s="838"/>
      <c r="AI119" s="838"/>
      <c r="AJ119" s="838"/>
      <c r="AK119" s="838"/>
      <c r="AL119" s="838"/>
      <c r="AM119" s="838"/>
      <c r="AN119" s="838"/>
      <c r="AO119" s="838"/>
      <c r="AP119" s="838"/>
      <c r="AQ119" s="838"/>
      <c r="AR119" s="838"/>
      <c r="AS119" s="838"/>
      <c r="AT119" s="838"/>
    </row>
    <row r="120" spans="1:46" ht="13" thickBot="1" x14ac:dyDescent="0.3">
      <c r="A120" s="862"/>
      <c r="B120" s="843" t="s">
        <v>80</v>
      </c>
      <c r="C120" s="844"/>
      <c r="D120" s="844"/>
      <c r="E120" s="844"/>
      <c r="F120" s="844"/>
      <c r="G120" s="844"/>
      <c r="H120" s="844"/>
      <c r="I120" s="844"/>
      <c r="J120" s="876"/>
      <c r="K120" s="876"/>
      <c r="L120" s="165">
        <f>M120+N120</f>
        <v>18500</v>
      </c>
      <c r="M120" s="198">
        <v>9250</v>
      </c>
      <c r="N120" s="198">
        <v>9250</v>
      </c>
      <c r="O120" s="165">
        <f t="shared" si="4"/>
        <v>6300</v>
      </c>
      <c r="P120" s="198">
        <v>3150</v>
      </c>
      <c r="Q120" s="198">
        <v>3150</v>
      </c>
      <c r="R120" s="170">
        <f>O120/10/30586</f>
        <v>2.0597659059700516E-2</v>
      </c>
      <c r="S120" s="165" t="e">
        <f>U120+#REF!</f>
        <v>#REF!</v>
      </c>
      <c r="T120" s="165" t="e">
        <f>U120+#REF!</f>
        <v>#REF!</v>
      </c>
      <c r="U120" s="198">
        <v>4650</v>
      </c>
      <c r="V120" s="925">
        <f>W120+X120</f>
        <v>4500</v>
      </c>
      <c r="W120" s="908">
        <v>2250</v>
      </c>
      <c r="X120" s="904">
        <v>2250</v>
      </c>
      <c r="Y120" s="252">
        <v>4500</v>
      </c>
      <c r="Z120" s="276"/>
      <c r="AA120" s="838"/>
      <c r="AB120" s="838"/>
      <c r="AC120" s="838"/>
      <c r="AD120" s="838"/>
      <c r="AE120" s="35"/>
      <c r="AF120" s="838"/>
      <c r="AG120" s="282"/>
      <c r="AH120" s="838"/>
      <c r="AI120" s="838"/>
      <c r="AJ120" s="838"/>
      <c r="AK120" s="838"/>
      <c r="AL120" s="838"/>
      <c r="AM120" s="838"/>
      <c r="AN120" s="838"/>
      <c r="AO120" s="838"/>
      <c r="AP120" s="838"/>
      <c r="AQ120" s="838"/>
      <c r="AR120" s="838"/>
      <c r="AS120" s="838"/>
      <c r="AT120" s="838"/>
    </row>
    <row r="121" spans="1:46" hidden="1" x14ac:dyDescent="0.25">
      <c r="A121" s="157"/>
      <c r="B121" s="842"/>
      <c r="C121" s="283"/>
      <c r="D121" s="283"/>
      <c r="E121" s="283"/>
      <c r="F121" s="283"/>
      <c r="G121" s="842"/>
      <c r="H121" s="842"/>
      <c r="I121" s="842"/>
      <c r="J121" s="842"/>
      <c r="K121" s="842"/>
      <c r="L121" s="161"/>
      <c r="M121" s="198"/>
      <c r="N121" s="198"/>
      <c r="O121" s="161"/>
      <c r="P121" s="198"/>
      <c r="Q121" s="198"/>
      <c r="R121" s="199"/>
      <c r="S121" s="161"/>
      <c r="T121" s="161"/>
      <c r="U121" s="198"/>
      <c r="V121" s="852"/>
      <c r="W121" s="285"/>
      <c r="X121" s="286"/>
      <c r="Y121" s="200"/>
      <c r="Z121" s="201"/>
      <c r="AA121" s="838"/>
      <c r="AB121" s="838"/>
      <c r="AC121" s="838"/>
      <c r="AD121" s="838"/>
      <c r="AE121" s="35"/>
      <c r="AF121" s="838"/>
      <c r="AG121" s="53"/>
      <c r="AH121" s="308"/>
      <c r="AI121" s="838"/>
      <c r="AJ121" s="838"/>
      <c r="AK121" s="838"/>
      <c r="AL121" s="838"/>
      <c r="AM121" s="838"/>
      <c r="AN121" s="838"/>
      <c r="AO121" s="838"/>
      <c r="AP121" s="838"/>
      <c r="AQ121" s="838"/>
      <c r="AR121" s="838"/>
      <c r="AS121" s="838"/>
      <c r="AT121" s="838"/>
    </row>
    <row r="122" spans="1:46" ht="13" x14ac:dyDescent="0.3">
      <c r="A122" s="287"/>
      <c r="B122" s="288" t="s">
        <v>81</v>
      </c>
      <c r="C122" s="289"/>
      <c r="D122" s="842"/>
      <c r="E122" s="289"/>
      <c r="F122" s="289"/>
      <c r="G122" s="290"/>
      <c r="H122" s="290"/>
      <c r="I122" s="290"/>
      <c r="J122" s="290"/>
      <c r="K122" s="290"/>
      <c r="L122" s="224">
        <f>M122+N122</f>
        <v>789480</v>
      </c>
      <c r="M122" s="854">
        <f>M123+M124+M125+M126+M127+M128+M129+M132</f>
        <v>391860</v>
      </c>
      <c r="N122" s="854">
        <f>N123+N124+N125+N126+N127+N128+N129+N132</f>
        <v>397620</v>
      </c>
      <c r="O122" s="224">
        <f>P122+Q122</f>
        <v>789207.86</v>
      </c>
      <c r="P122" s="854">
        <f>P123+P124+P125+P126+P127+P128+P129+P130+P131+P132</f>
        <v>471926.57</v>
      </c>
      <c r="Q122" s="854">
        <f>Q123+Q124+Q125+Q126+Q127+Q128+Q129+Q130+Q131+Q132</f>
        <v>317281.28999999998</v>
      </c>
      <c r="R122" s="291">
        <f>R123+R124+R125+R126+R127+R128+R129+R130+R131+R132</f>
        <v>2.5492312168966196</v>
      </c>
      <c r="S122" s="224" t="e">
        <f>U122+#REF!</f>
        <v>#REF!</v>
      </c>
      <c r="T122" s="224" t="e">
        <f>U122+#REF!</f>
        <v>#REF!</v>
      </c>
      <c r="U122" s="292">
        <f>U123+U124+U125+U126+U127+U128+U129+U130+U131+U132</f>
        <v>520780</v>
      </c>
      <c r="V122" s="293">
        <f>V123+V124+V125+V126+V128+V130+V131+V132</f>
        <v>799740</v>
      </c>
      <c r="W122" s="293">
        <f>W123+W124+W125+W126+W128+W130+W131+W132</f>
        <v>397620</v>
      </c>
      <c r="X122" s="293">
        <f>X123+X124+X125+X126+X128+X130+X131+X132</f>
        <v>402120</v>
      </c>
      <c r="Y122" s="267"/>
      <c r="Z122" s="268"/>
      <c r="AA122" s="838"/>
      <c r="AB122" s="877"/>
      <c r="AC122" s="838"/>
      <c r="AD122" s="838"/>
      <c r="AE122" s="35"/>
      <c r="AF122" s="838"/>
      <c r="AG122" s="838"/>
      <c r="AH122" s="860"/>
      <c r="AI122" s="838"/>
      <c r="AJ122" s="838"/>
      <c r="AK122" s="838"/>
      <c r="AL122" s="838"/>
      <c r="AM122" s="838"/>
      <c r="AN122" s="838"/>
      <c r="AO122" s="838"/>
      <c r="AP122" s="838"/>
      <c r="AQ122" s="838"/>
      <c r="AR122" s="838"/>
      <c r="AS122" s="838"/>
      <c r="AT122" s="838"/>
    </row>
    <row r="123" spans="1:46" ht="13" x14ac:dyDescent="0.3">
      <c r="A123" s="157"/>
      <c r="B123" s="842" t="s">
        <v>82</v>
      </c>
      <c r="C123" s="842"/>
      <c r="D123" s="842"/>
      <c r="E123" s="842"/>
      <c r="F123" s="842"/>
      <c r="G123" s="842"/>
      <c r="H123" s="842"/>
      <c r="I123" s="842"/>
      <c r="J123" s="845"/>
      <c r="K123" s="845"/>
      <c r="L123" s="165">
        <v>336000</v>
      </c>
      <c r="M123" s="198">
        <v>168000</v>
      </c>
      <c r="N123" s="198">
        <v>168000</v>
      </c>
      <c r="O123" s="165">
        <f>P123+Q123</f>
        <v>275500</v>
      </c>
      <c r="P123" s="198">
        <f>100000+36000+3500</f>
        <v>139500</v>
      </c>
      <c r="Q123" s="198">
        <f>100000+36000</f>
        <v>136000</v>
      </c>
      <c r="R123" s="170">
        <f>O123/10/30586</f>
        <v>0.90073890015039559</v>
      </c>
      <c r="S123" s="165">
        <v>0</v>
      </c>
      <c r="T123" s="165" t="e">
        <f>U123+#REF!</f>
        <v>#REF!</v>
      </c>
      <c r="U123" s="294">
        <f>120000+43200+4200</f>
        <v>167400</v>
      </c>
      <c r="V123" s="903">
        <f>W123+X123</f>
        <v>336000</v>
      </c>
      <c r="W123" s="899">
        <v>168000</v>
      </c>
      <c r="X123" s="901">
        <v>168000</v>
      </c>
      <c r="Y123" s="275">
        <v>168000</v>
      </c>
      <c r="Z123" s="1075" t="s">
        <v>369</v>
      </c>
      <c r="AA123" s="838"/>
      <c r="AB123" s="838"/>
      <c r="AC123" s="838"/>
      <c r="AD123" s="838"/>
      <c r="AE123" s="838"/>
      <c r="AF123" s="838"/>
      <c r="AG123" s="838"/>
      <c r="AH123" s="838"/>
      <c r="AI123" s="838"/>
      <c r="AJ123" s="838"/>
      <c r="AK123" s="838"/>
      <c r="AL123" s="838"/>
      <c r="AM123" s="838"/>
      <c r="AN123" s="838"/>
      <c r="AO123" s="838"/>
      <c r="AP123" s="838"/>
      <c r="AQ123" s="838"/>
      <c r="AR123" s="838"/>
      <c r="AS123" s="838"/>
      <c r="AT123" s="838"/>
    </row>
    <row r="124" spans="1:46" ht="13" x14ac:dyDescent="0.3">
      <c r="A124" s="157"/>
      <c r="B124" s="842" t="s">
        <v>83</v>
      </c>
      <c r="C124" s="842"/>
      <c r="D124" s="842"/>
      <c r="E124" s="842"/>
      <c r="F124" s="842"/>
      <c r="G124" s="842"/>
      <c r="H124" s="842"/>
      <c r="I124" s="842"/>
      <c r="J124" s="842"/>
      <c r="K124" s="845"/>
      <c r="L124" s="165">
        <f t="shared" ref="L124:L129" si="5">M124+N124</f>
        <v>330240</v>
      </c>
      <c r="M124" s="270">
        <v>165120</v>
      </c>
      <c r="N124" s="198">
        <v>165120</v>
      </c>
      <c r="O124" s="165">
        <f t="shared" ref="O124:O139" si="6">P124+Q124</f>
        <v>275200</v>
      </c>
      <c r="P124" s="270">
        <v>137600</v>
      </c>
      <c r="Q124" s="198">
        <v>137600</v>
      </c>
      <c r="R124" s="170">
        <f>O124/10/30586</f>
        <v>0.89975805924279084</v>
      </c>
      <c r="S124" s="165" t="e">
        <f>U124+#REF!</f>
        <v>#REF!</v>
      </c>
      <c r="T124" s="165" t="e">
        <f>U124+#REF!</f>
        <v>#REF!</v>
      </c>
      <c r="U124" s="295">
        <v>165120</v>
      </c>
      <c r="V124" s="903">
        <f>W124+X124</f>
        <v>330240</v>
      </c>
      <c r="W124" s="834">
        <v>165120</v>
      </c>
      <c r="X124" s="901">
        <v>165120</v>
      </c>
      <c r="Y124" s="252">
        <v>165120</v>
      </c>
      <c r="Z124" s="1075" t="s">
        <v>337</v>
      </c>
      <c r="AA124" s="1075" t="s">
        <v>338</v>
      </c>
      <c r="AB124" s="838"/>
      <c r="AC124" s="838"/>
      <c r="AD124" s="838"/>
      <c r="AE124" s="838"/>
      <c r="AF124" s="838"/>
      <c r="AG124" s="838"/>
      <c r="AH124" s="838"/>
      <c r="AI124" s="838"/>
      <c r="AJ124" s="838"/>
      <c r="AK124" s="838"/>
      <c r="AL124" s="838"/>
      <c r="AM124" s="838"/>
      <c r="AN124" s="838"/>
      <c r="AO124" s="838"/>
      <c r="AP124" s="838"/>
      <c r="AQ124" s="838"/>
      <c r="AR124" s="838"/>
      <c r="AS124" s="838"/>
      <c r="AT124" s="838"/>
    </row>
    <row r="125" spans="1:46" ht="14" x14ac:dyDescent="0.3">
      <c r="A125" s="117"/>
      <c r="B125" s="885" t="s">
        <v>84</v>
      </c>
      <c r="C125" s="842"/>
      <c r="D125" s="842"/>
      <c r="E125" s="842"/>
      <c r="F125" s="842"/>
      <c r="G125" s="842"/>
      <c r="H125" s="842"/>
      <c r="I125" s="842"/>
      <c r="J125" s="842"/>
      <c r="K125" s="296"/>
      <c r="L125" s="235">
        <f t="shared" si="5"/>
        <v>78240</v>
      </c>
      <c r="M125" s="233">
        <v>36240</v>
      </c>
      <c r="N125" s="233">
        <v>42000</v>
      </c>
      <c r="O125" s="235">
        <f t="shared" si="6"/>
        <v>57000</v>
      </c>
      <c r="P125" s="233">
        <v>57000</v>
      </c>
      <c r="Q125" s="233">
        <v>0</v>
      </c>
      <c r="R125" s="297">
        <f>O125/12/30586</f>
        <v>0.15529981037075785</v>
      </c>
      <c r="S125" s="235" t="e">
        <f>U125+#REF!</f>
        <v>#REF!</v>
      </c>
      <c r="T125" s="235" t="e">
        <f>U125+#REF!</f>
        <v>#REF!</v>
      </c>
      <c r="U125" s="298">
        <v>68400</v>
      </c>
      <c r="V125" s="1286">
        <f>W125+X125</f>
        <v>66500</v>
      </c>
      <c r="W125" s="1287">
        <v>36500</v>
      </c>
      <c r="X125" s="1288">
        <v>30000</v>
      </c>
      <c r="Y125" s="252">
        <v>71500</v>
      </c>
      <c r="Z125" s="1075">
        <v>27186</v>
      </c>
      <c r="AA125" s="1075">
        <v>41682</v>
      </c>
      <c r="AB125" s="838"/>
      <c r="AC125" s="838"/>
      <c r="AD125" s="838"/>
      <c r="AE125" s="838"/>
      <c r="AF125" s="838"/>
      <c r="AG125" s="838"/>
      <c r="AH125" s="838"/>
      <c r="AI125" s="838"/>
      <c r="AJ125" s="838"/>
      <c r="AK125" s="842"/>
      <c r="AL125" s="35"/>
      <c r="AM125" s="838"/>
      <c r="AN125" s="838"/>
      <c r="AO125" s="838"/>
      <c r="AP125" s="838"/>
      <c r="AQ125" s="838"/>
      <c r="AR125" s="838"/>
      <c r="AS125" s="838"/>
      <c r="AT125" s="838"/>
    </row>
    <row r="126" spans="1:46" ht="14" x14ac:dyDescent="0.3">
      <c r="A126" s="157"/>
      <c r="B126" s="842" t="s">
        <v>85</v>
      </c>
      <c r="C126" s="842"/>
      <c r="D126" s="842"/>
      <c r="E126" s="842"/>
      <c r="F126" s="842"/>
      <c r="G126" s="842"/>
      <c r="H126" s="842"/>
      <c r="I126" s="842"/>
      <c r="J126" s="842"/>
      <c r="K126" s="842"/>
      <c r="L126" s="165">
        <f t="shared" si="5"/>
        <v>0</v>
      </c>
      <c r="M126" s="198"/>
      <c r="N126" s="198"/>
      <c r="O126" s="165">
        <f t="shared" si="6"/>
        <v>0</v>
      </c>
      <c r="P126" s="198"/>
      <c r="Q126" s="198"/>
      <c r="R126" s="170">
        <f t="shared" ref="R126:R132" si="7">O126/10/30586</f>
        <v>0</v>
      </c>
      <c r="S126" s="165" t="e">
        <f>U126+#REF!</f>
        <v>#REF!</v>
      </c>
      <c r="T126" s="165" t="e">
        <f>U126+#REF!</f>
        <v>#REF!</v>
      </c>
      <c r="U126" s="294"/>
      <c r="V126" s="1218">
        <v>0</v>
      </c>
      <c r="W126" s="1220">
        <v>0</v>
      </c>
      <c r="X126" s="1221">
        <v>0</v>
      </c>
      <c r="Y126" s="252">
        <v>35000</v>
      </c>
      <c r="Z126" s="276"/>
      <c r="AA126" s="838"/>
      <c r="AB126" s="838"/>
      <c r="AC126" s="838"/>
      <c r="AD126" s="838"/>
      <c r="AE126" s="838"/>
      <c r="AF126" s="838"/>
      <c r="AG126" s="838"/>
      <c r="AH126" s="838"/>
      <c r="AI126" s="838"/>
      <c r="AJ126" s="838"/>
      <c r="AK126" s="838"/>
      <c r="AL126" s="838"/>
      <c r="AM126" s="838"/>
      <c r="AN126" s="838"/>
      <c r="AO126" s="838"/>
      <c r="AP126" s="838"/>
      <c r="AQ126" s="838"/>
      <c r="AR126" s="838"/>
      <c r="AS126" s="838"/>
      <c r="AT126" s="838"/>
    </row>
    <row r="127" spans="1:46" ht="13" x14ac:dyDescent="0.3">
      <c r="A127" s="157"/>
      <c r="B127" s="63" t="s">
        <v>86</v>
      </c>
      <c r="C127" s="148"/>
      <c r="D127" s="148"/>
      <c r="E127" s="148"/>
      <c r="F127" s="842"/>
      <c r="G127" s="842"/>
      <c r="H127" s="842"/>
      <c r="I127" s="842"/>
      <c r="J127" s="842"/>
      <c r="K127" s="842"/>
      <c r="L127" s="165">
        <f t="shared" si="5"/>
        <v>0</v>
      </c>
      <c r="M127" s="198"/>
      <c r="N127" s="198"/>
      <c r="O127" s="165">
        <f t="shared" si="6"/>
        <v>64220</v>
      </c>
      <c r="P127" s="198">
        <v>64220</v>
      </c>
      <c r="Q127" s="198"/>
      <c r="R127" s="170">
        <f t="shared" si="7"/>
        <v>0.20996534362126462</v>
      </c>
      <c r="S127" s="165" t="e">
        <f>U127+#REF!</f>
        <v>#REF!</v>
      </c>
      <c r="T127" s="165">
        <v>64220</v>
      </c>
      <c r="U127" s="294">
        <v>32110</v>
      </c>
      <c r="V127" s="875"/>
      <c r="W127" s="899"/>
      <c r="X127" s="899"/>
      <c r="Y127" s="299"/>
      <c r="Z127" s="1075" t="s">
        <v>369</v>
      </c>
      <c r="AA127" s="593"/>
      <c r="AB127" s="877"/>
      <c r="AC127" s="838"/>
      <c r="AD127" s="838"/>
      <c r="AE127" s="838"/>
      <c r="AF127" s="838"/>
      <c r="AG127" s="838"/>
      <c r="AH127" s="838"/>
      <c r="AI127" s="838"/>
      <c r="AJ127" s="838"/>
      <c r="AK127" s="838"/>
      <c r="AL127" s="838"/>
      <c r="AM127" s="838"/>
      <c r="AN127" s="838"/>
      <c r="AO127" s="838"/>
      <c r="AP127" s="838"/>
      <c r="AQ127" s="838"/>
      <c r="AR127" s="838"/>
      <c r="AS127" s="838"/>
      <c r="AT127" s="838"/>
    </row>
    <row r="128" spans="1:46" ht="13" x14ac:dyDescent="0.3">
      <c r="A128" s="157"/>
      <c r="B128" s="842" t="s">
        <v>87</v>
      </c>
      <c r="C128" s="842"/>
      <c r="D128" s="842"/>
      <c r="E128" s="842"/>
      <c r="F128" s="842"/>
      <c r="G128" s="842"/>
      <c r="H128" s="842"/>
      <c r="I128" s="842"/>
      <c r="J128" s="842"/>
      <c r="K128" s="885" t="s">
        <v>88</v>
      </c>
      <c r="L128" s="165">
        <f t="shared" si="5"/>
        <v>0</v>
      </c>
      <c r="M128" s="198"/>
      <c r="N128" s="233"/>
      <c r="O128" s="165">
        <f t="shared" si="6"/>
        <v>750</v>
      </c>
      <c r="P128" s="198"/>
      <c r="Q128" s="198">
        <v>750</v>
      </c>
      <c r="R128" s="170">
        <f t="shared" si="7"/>
        <v>2.4521022690119662E-3</v>
      </c>
      <c r="S128" s="165" t="e">
        <f>U128+#REF!</f>
        <v>#REF!</v>
      </c>
      <c r="T128" s="165" t="e">
        <f>U128+#REF!</f>
        <v>#REF!</v>
      </c>
      <c r="U128" s="294"/>
      <c r="V128" s="903">
        <v>0</v>
      </c>
      <c r="W128" s="1037">
        <v>0</v>
      </c>
      <c r="X128" s="1222">
        <v>0</v>
      </c>
      <c r="Y128" s="200"/>
      <c r="Z128" s="1075" t="s">
        <v>337</v>
      </c>
      <c r="AA128" s="1075" t="s">
        <v>338</v>
      </c>
      <c r="AB128" s="838"/>
      <c r="AC128" s="838"/>
      <c r="AD128" s="838"/>
      <c r="AE128" s="838"/>
      <c r="AF128" s="838"/>
      <c r="AG128" s="838"/>
      <c r="AH128" s="838"/>
      <c r="AI128" s="838"/>
      <c r="AJ128" s="838"/>
      <c r="AK128" s="838"/>
      <c r="AL128" s="838"/>
      <c r="AM128" s="838"/>
      <c r="AN128" s="838"/>
      <c r="AO128" s="838"/>
      <c r="AP128" s="838"/>
      <c r="AQ128" s="838"/>
      <c r="AR128" s="838"/>
      <c r="AS128" s="838"/>
      <c r="AT128" s="838"/>
    </row>
    <row r="129" spans="1:46" ht="13" x14ac:dyDescent="0.3">
      <c r="A129" s="157"/>
      <c r="B129" s="842" t="s">
        <v>89</v>
      </c>
      <c r="C129" s="842"/>
      <c r="D129" s="842"/>
      <c r="E129" s="842"/>
      <c r="F129" s="842"/>
      <c r="G129" s="842"/>
      <c r="H129" s="842"/>
      <c r="I129" s="842"/>
      <c r="J129" s="842"/>
      <c r="K129" s="842"/>
      <c r="L129" s="165">
        <f t="shared" si="5"/>
        <v>0</v>
      </c>
      <c r="M129" s="198"/>
      <c r="N129" s="198"/>
      <c r="O129" s="165">
        <f t="shared" si="6"/>
        <v>0</v>
      </c>
      <c r="P129" s="198"/>
      <c r="Q129" s="198"/>
      <c r="R129" s="170">
        <f t="shared" si="7"/>
        <v>0</v>
      </c>
      <c r="S129" s="165" t="e">
        <f>U129+#REF!</f>
        <v>#REF!</v>
      </c>
      <c r="T129" s="165" t="e">
        <f>U129+#REF!</f>
        <v>#REF!</v>
      </c>
      <c r="U129" s="294"/>
      <c r="V129" s="901">
        <v>0</v>
      </c>
      <c r="W129" s="899">
        <v>0</v>
      </c>
      <c r="X129" s="902">
        <v>0</v>
      </c>
      <c r="Y129" s="200"/>
      <c r="Z129" s="1075">
        <v>27186</v>
      </c>
      <c r="AA129" s="1075">
        <v>41682</v>
      </c>
      <c r="AB129" s="838"/>
      <c r="AC129" s="838"/>
      <c r="AD129" s="838"/>
      <c r="AE129" s="838"/>
      <c r="AF129" s="838"/>
      <c r="AG129" s="838"/>
      <c r="AH129" s="35"/>
      <c r="AI129" s="842"/>
      <c r="AJ129" s="838"/>
      <c r="AK129" s="838"/>
      <c r="AL129" s="838"/>
      <c r="AM129" s="838"/>
      <c r="AN129" s="838"/>
      <c r="AO129" s="838"/>
      <c r="AP129" s="838"/>
      <c r="AQ129" s="838"/>
      <c r="AR129" s="838"/>
      <c r="AS129" s="838"/>
      <c r="AT129" s="838"/>
    </row>
    <row r="130" spans="1:46" ht="13" x14ac:dyDescent="0.3">
      <c r="A130" s="157"/>
      <c r="B130" s="885" t="s">
        <v>90</v>
      </c>
      <c r="C130" s="885"/>
      <c r="D130" s="885"/>
      <c r="E130" s="885"/>
      <c r="F130" s="885"/>
      <c r="G130" s="885"/>
      <c r="H130" s="174"/>
      <c r="I130" s="174"/>
      <c r="J130" s="174"/>
      <c r="K130" s="301"/>
      <c r="L130" s="165"/>
      <c r="M130" s="236"/>
      <c r="N130" s="236"/>
      <c r="O130" s="165">
        <f t="shared" si="6"/>
        <v>47350</v>
      </c>
      <c r="P130" s="236">
        <f>4550+1450+750+1500+9300+8300+650</f>
        <v>26500</v>
      </c>
      <c r="Q130" s="236">
        <f>2500+3000+6400+4500+3800+650</f>
        <v>20850</v>
      </c>
      <c r="R130" s="170">
        <f t="shared" si="7"/>
        <v>0.15480938991695548</v>
      </c>
      <c r="S130" s="165" t="e">
        <f>U130+#REF!</f>
        <v>#REF!</v>
      </c>
      <c r="T130" s="165" t="e">
        <f>U130+#REF!</f>
        <v>#REF!</v>
      </c>
      <c r="U130" s="302">
        <v>31800</v>
      </c>
      <c r="V130" s="474">
        <f>W130+X130</f>
        <v>25000</v>
      </c>
      <c r="W130" s="1224">
        <v>10000</v>
      </c>
      <c r="X130" s="1225">
        <v>15000</v>
      </c>
      <c r="Y130" s="303"/>
      <c r="Z130" s="1075">
        <v>9420</v>
      </c>
      <c r="AA130" s="1075">
        <v>14370</v>
      </c>
      <c r="AB130" s="306"/>
      <c r="AC130" s="1149" t="s">
        <v>365</v>
      </c>
      <c r="AD130" s="1150"/>
      <c r="AE130" s="1150"/>
      <c r="AF130" s="1150"/>
      <c r="AG130" s="1150"/>
      <c r="AH130" s="1150"/>
      <c r="AI130" s="1150"/>
      <c r="AJ130" s="1150"/>
      <c r="AK130" s="838"/>
      <c r="AL130" s="838"/>
      <c r="AM130" s="838"/>
      <c r="AN130" s="838"/>
      <c r="AO130" s="838"/>
      <c r="AP130" s="838"/>
      <c r="AQ130" s="838"/>
      <c r="AR130" s="838"/>
      <c r="AS130" s="838"/>
      <c r="AT130" s="838"/>
    </row>
    <row r="131" spans="1:46" ht="13" x14ac:dyDescent="0.3">
      <c r="A131" s="157"/>
      <c r="B131" s="885" t="s">
        <v>91</v>
      </c>
      <c r="C131" s="885"/>
      <c r="D131" s="885"/>
      <c r="E131" s="885"/>
      <c r="F131" s="885"/>
      <c r="G131" s="885"/>
      <c r="H131" s="174"/>
      <c r="I131" s="174"/>
      <c r="J131" s="174"/>
      <c r="K131" s="301"/>
      <c r="L131" s="307">
        <f>M131+N131</f>
        <v>45000</v>
      </c>
      <c r="M131" s="236">
        <v>22500</v>
      </c>
      <c r="N131" s="236">
        <v>22500</v>
      </c>
      <c r="O131" s="307">
        <f>P131+Q131</f>
        <v>64787.86</v>
      </c>
      <c r="P131" s="236">
        <f>42614.07+1592.5</f>
        <v>44206.57</v>
      </c>
      <c r="Q131" s="236">
        <f>18988.79+1592.5</f>
        <v>20581.29</v>
      </c>
      <c r="R131" s="170">
        <f t="shared" si="7"/>
        <v>0.2118219446805728</v>
      </c>
      <c r="S131" s="165"/>
      <c r="T131" s="307" t="e">
        <f>U131+#REF!</f>
        <v>#REF!</v>
      </c>
      <c r="U131" s="302">
        <v>53050</v>
      </c>
      <c r="V131" s="474">
        <f>W131+X131</f>
        <v>42000</v>
      </c>
      <c r="W131" s="1224">
        <v>18000</v>
      </c>
      <c r="X131" s="1225">
        <v>24000</v>
      </c>
      <c r="Y131" s="303"/>
      <c r="Z131" s="1153">
        <v>54803.87</v>
      </c>
      <c r="AA131" s="1154">
        <v>30163.85</v>
      </c>
      <c r="AB131" s="1155" t="s">
        <v>370</v>
      </c>
      <c r="AC131" s="1149"/>
      <c r="AD131" s="1150"/>
      <c r="AE131" s="1150"/>
      <c r="AF131" s="1150"/>
      <c r="AG131" s="1150"/>
      <c r="AH131" s="1150"/>
      <c r="AI131" s="1150"/>
      <c r="AJ131" s="1150"/>
      <c r="AK131" s="838"/>
      <c r="AL131" s="838"/>
      <c r="AM131" s="838"/>
      <c r="AN131" s="838"/>
      <c r="AO131" s="838"/>
      <c r="AP131" s="838"/>
      <c r="AQ131" s="838"/>
      <c r="AR131" s="838"/>
      <c r="AS131" s="838"/>
      <c r="AT131" s="838"/>
    </row>
    <row r="132" spans="1:46" ht="16" thickBot="1" x14ac:dyDescent="0.4">
      <c r="A132" s="279"/>
      <c r="B132" s="308" t="s">
        <v>92</v>
      </c>
      <c r="C132" s="283"/>
      <c r="D132" s="283"/>
      <c r="E132" s="283"/>
      <c r="F132" s="283"/>
      <c r="G132" s="283"/>
      <c r="H132" s="283"/>
      <c r="I132" s="283"/>
      <c r="J132" s="283"/>
      <c r="K132" s="309" t="s">
        <v>93</v>
      </c>
      <c r="L132" s="310">
        <f>M132+N132</f>
        <v>45000</v>
      </c>
      <c r="M132" s="311">
        <v>22500</v>
      </c>
      <c r="N132" s="311">
        <v>22500</v>
      </c>
      <c r="O132" s="312">
        <f>P132+Q132</f>
        <v>4400</v>
      </c>
      <c r="P132" s="313">
        <v>2900</v>
      </c>
      <c r="Q132" s="313">
        <v>1500</v>
      </c>
      <c r="R132" s="170">
        <f t="shared" si="7"/>
        <v>1.4385666644870202E-2</v>
      </c>
      <c r="S132" s="165" t="e">
        <f>U132+#REF!</f>
        <v>#REF!</v>
      </c>
      <c r="T132" s="312" t="e">
        <f>U132+#REF!</f>
        <v>#REF!</v>
      </c>
      <c r="U132" s="314">
        <v>2900</v>
      </c>
      <c r="V132" s="925">
        <f>W132+X132</f>
        <v>0</v>
      </c>
      <c r="W132" s="1062">
        <v>0</v>
      </c>
      <c r="X132" s="1063">
        <v>0</v>
      </c>
      <c r="Y132" s="924"/>
      <c r="Z132" s="316"/>
      <c r="AA132" s="305"/>
      <c r="AB132" s="838"/>
      <c r="AC132" s="838"/>
      <c r="AD132" s="838"/>
      <c r="AE132" s="838"/>
      <c r="AF132" s="838"/>
      <c r="AG132" s="838"/>
      <c r="AH132" s="838"/>
      <c r="AI132" s="838"/>
      <c r="AJ132" s="838"/>
      <c r="AK132" s="838"/>
      <c r="AL132" s="838"/>
      <c r="AM132" s="838"/>
      <c r="AN132" s="838"/>
      <c r="AO132" s="838"/>
      <c r="AP132" s="838"/>
      <c r="AQ132" s="838"/>
      <c r="AR132" s="838"/>
      <c r="AS132" s="838"/>
      <c r="AT132" s="838"/>
    </row>
    <row r="133" spans="1:46" ht="12.75" customHeight="1" x14ac:dyDescent="0.3">
      <c r="A133" s="287"/>
      <c r="B133" s="32" t="s">
        <v>94</v>
      </c>
      <c r="C133" s="842"/>
      <c r="D133" s="842"/>
      <c r="E133" s="842"/>
      <c r="F133" s="842"/>
      <c r="G133" s="842"/>
      <c r="H133" s="842"/>
      <c r="I133" s="842"/>
      <c r="J133" s="842"/>
      <c r="K133" s="842"/>
      <c r="L133" s="224">
        <f t="shared" ref="L133:L139" si="8">M133+N133</f>
        <v>677252</v>
      </c>
      <c r="M133" s="846">
        <f>M134+M135+M138+M139+M141+M142</f>
        <v>351868</v>
      </c>
      <c r="N133" s="846">
        <f>N134+N135+N138+N139+N141+N142</f>
        <v>325384</v>
      </c>
      <c r="O133" s="224">
        <f t="shared" si="6"/>
        <v>565917.07000000007</v>
      </c>
      <c r="P133" s="846">
        <f>P134+P135+P137+P138+P139+P141+P142</f>
        <v>293165.58</v>
      </c>
      <c r="Q133" s="846">
        <f>Q134+Q135+Q137+Q138+Q139+Q141+Q142</f>
        <v>272751.49</v>
      </c>
      <c r="R133" s="291">
        <f>R134+R135+R137+R142</f>
        <v>0.58990083698424123</v>
      </c>
      <c r="S133" s="224" t="e">
        <f>U133+#REF!</f>
        <v>#REF!</v>
      </c>
      <c r="T133" s="224" t="e">
        <f>U133+#REF!</f>
        <v>#REF!</v>
      </c>
      <c r="U133" s="846">
        <f>U134+U135+U137+U138+U139+U141+U142</f>
        <v>327610</v>
      </c>
      <c r="V133" s="318">
        <f>V134+V135+V137+V138+V139+V141+V142+V136</f>
        <v>716472</v>
      </c>
      <c r="W133" s="318">
        <f>W134+W135+W137+W138+W139+W141+W142+W136</f>
        <v>369168</v>
      </c>
      <c r="X133" s="318">
        <f>X134+X135+X137+X138+X139+X141+X142+X136</f>
        <v>347304</v>
      </c>
      <c r="Y133" s="319"/>
      <c r="Z133" s="268"/>
      <c r="AA133" s="838"/>
      <c r="AB133" s="838"/>
      <c r="AC133" s="838"/>
      <c r="AD133" s="838"/>
      <c r="AE133" s="838"/>
      <c r="AF133" s="838"/>
      <c r="AG133" s="838"/>
      <c r="AH133" s="838"/>
      <c r="AI133" s="838"/>
      <c r="AJ133" s="838"/>
      <c r="AK133" s="838"/>
      <c r="AL133" s="838"/>
      <c r="AM133" s="838"/>
      <c r="AN133" s="838"/>
      <c r="AO133" s="838"/>
      <c r="AP133" s="838"/>
      <c r="AQ133" s="838"/>
      <c r="AR133" s="838"/>
      <c r="AS133" s="838"/>
      <c r="AT133" s="838"/>
    </row>
    <row r="134" spans="1:46" ht="15.5" x14ac:dyDescent="0.35">
      <c r="A134" s="157"/>
      <c r="B134" s="842" t="s">
        <v>95</v>
      </c>
      <c r="C134" s="842"/>
      <c r="D134" s="842"/>
      <c r="E134" s="842"/>
      <c r="F134" s="842"/>
      <c r="G134" s="842"/>
      <c r="H134" s="847"/>
      <c r="I134" s="842"/>
      <c r="J134" s="842"/>
      <c r="K134" s="320" t="s">
        <v>96</v>
      </c>
      <c r="L134" s="165">
        <f t="shared" si="8"/>
        <v>37000</v>
      </c>
      <c r="M134" s="198">
        <v>18500</v>
      </c>
      <c r="N134" s="198">
        <v>18500</v>
      </c>
      <c r="O134" s="165">
        <f t="shared" si="6"/>
        <v>48538.33</v>
      </c>
      <c r="P134" s="198">
        <f>26165.28+2935.35</f>
        <v>29100.629999999997</v>
      </c>
      <c r="Q134" s="198">
        <f>16502.34+2935.36</f>
        <v>19437.7</v>
      </c>
      <c r="R134" s="170">
        <f>O134/10/30586</f>
        <v>0.15869459883606882</v>
      </c>
      <c r="S134" s="165" t="e">
        <f>U134+#REF!</f>
        <v>#REF!</v>
      </c>
      <c r="T134" s="165" t="e">
        <f>U134+#REF!</f>
        <v>#REF!</v>
      </c>
      <c r="U134" s="198">
        <v>34950</v>
      </c>
      <c r="V134" s="903">
        <f>W134+X134</f>
        <v>60000</v>
      </c>
      <c r="W134" s="899">
        <v>30000</v>
      </c>
      <c r="X134" s="1289">
        <v>30000</v>
      </c>
      <c r="Y134" s="294"/>
      <c r="Z134" s="1153">
        <v>28399.07</v>
      </c>
      <c r="AA134" s="1158">
        <v>86537.26</v>
      </c>
      <c r="AB134" s="1160" t="s">
        <v>374</v>
      </c>
      <c r="AC134" s="838"/>
      <c r="AD134" s="838"/>
      <c r="AE134" s="838"/>
      <c r="AF134" s="838"/>
      <c r="AG134" s="838"/>
      <c r="AH134" s="838"/>
      <c r="AI134" s="838"/>
      <c r="AJ134" s="838"/>
      <c r="AK134" s="838"/>
      <c r="AL134" s="838"/>
      <c r="AM134" s="838"/>
      <c r="AN134" s="838"/>
      <c r="AO134" s="838"/>
      <c r="AP134" s="838"/>
      <c r="AQ134" s="838"/>
      <c r="AR134" s="838"/>
      <c r="AS134" s="838"/>
      <c r="AT134" s="838"/>
    </row>
    <row r="135" spans="1:46" ht="13" x14ac:dyDescent="0.3">
      <c r="A135" s="157"/>
      <c r="B135" s="842" t="s">
        <v>97</v>
      </c>
      <c r="C135" s="842"/>
      <c r="D135" s="842"/>
      <c r="E135" s="842"/>
      <c r="F135" s="842"/>
      <c r="G135" s="842"/>
      <c r="H135" s="847"/>
      <c r="I135" s="842"/>
      <c r="J135" s="842"/>
      <c r="K135" s="842"/>
      <c r="L135" s="165">
        <f t="shared" si="8"/>
        <v>162000</v>
      </c>
      <c r="M135" s="198">
        <v>81000</v>
      </c>
      <c r="N135" s="198">
        <v>81000</v>
      </c>
      <c r="O135" s="165">
        <f t="shared" si="6"/>
        <v>78000</v>
      </c>
      <c r="P135" s="198">
        <v>39000</v>
      </c>
      <c r="Q135" s="198">
        <v>39000</v>
      </c>
      <c r="R135" s="170">
        <f>O135/10/30586</f>
        <v>0.2550186359772445</v>
      </c>
      <c r="S135" s="165" t="e">
        <f>U135+#REF!</f>
        <v>#REF!</v>
      </c>
      <c r="T135" s="165" t="e">
        <f>U135+#REF!</f>
        <v>#REF!</v>
      </c>
      <c r="U135" s="198">
        <v>46800</v>
      </c>
      <c r="V135" s="903">
        <f>W135+X135</f>
        <v>104000</v>
      </c>
      <c r="W135" s="899">
        <v>52000</v>
      </c>
      <c r="X135" s="902">
        <v>52000</v>
      </c>
      <c r="Y135" s="200"/>
      <c r="Z135" s="276"/>
      <c r="AA135" s="838"/>
      <c r="AB135" s="838"/>
      <c r="AC135" s="838"/>
      <c r="AD135" s="838"/>
      <c r="AE135" s="838"/>
      <c r="AF135" s="838"/>
      <c r="AG135" s="838"/>
      <c r="AH135" s="838"/>
      <c r="AI135" s="838"/>
      <c r="AJ135" s="838"/>
      <c r="AK135" s="838"/>
      <c r="AL135" s="838"/>
      <c r="AM135" s="838"/>
      <c r="AN135" s="838"/>
      <c r="AO135" s="838"/>
      <c r="AP135" s="838"/>
      <c r="AQ135" s="838"/>
      <c r="AR135" s="838"/>
      <c r="AS135" s="838"/>
      <c r="AT135" s="838"/>
    </row>
    <row r="136" spans="1:46" ht="13" x14ac:dyDescent="0.3">
      <c r="A136" s="157"/>
      <c r="B136" s="321" t="s">
        <v>98</v>
      </c>
      <c r="C136" s="842"/>
      <c r="D136" s="842"/>
      <c r="E136" s="842"/>
      <c r="F136" s="842"/>
      <c r="G136" s="842"/>
      <c r="H136" s="847"/>
      <c r="I136" s="842"/>
      <c r="J136" s="842"/>
      <c r="K136" s="842"/>
      <c r="L136" s="165"/>
      <c r="M136" s="198"/>
      <c r="N136" s="198"/>
      <c r="O136" s="165"/>
      <c r="P136" s="198"/>
      <c r="Q136" s="198"/>
      <c r="R136" s="170"/>
      <c r="S136" s="165"/>
      <c r="T136" s="165"/>
      <c r="U136" s="198"/>
      <c r="V136" s="903">
        <f>W136+X136</f>
        <v>30000</v>
      </c>
      <c r="W136" s="899">
        <v>15000</v>
      </c>
      <c r="X136" s="902">
        <v>15000</v>
      </c>
      <c r="Y136" s="200"/>
      <c r="Z136" s="304" t="s">
        <v>352</v>
      </c>
      <c r="AA136" s="838"/>
      <c r="AB136" s="838"/>
      <c r="AC136" s="838"/>
      <c r="AD136" s="838"/>
      <c r="AE136" s="838"/>
      <c r="AF136" s="838"/>
      <c r="AG136" s="838"/>
      <c r="AH136" s="838"/>
      <c r="AI136" s="838"/>
      <c r="AJ136" s="838"/>
      <c r="AK136" s="838"/>
      <c r="AL136" s="838"/>
      <c r="AM136" s="838"/>
      <c r="AN136" s="838"/>
      <c r="AO136" s="838"/>
      <c r="AP136" s="838"/>
      <c r="AQ136" s="838"/>
      <c r="AR136" s="838"/>
      <c r="AS136" s="838"/>
      <c r="AT136" s="838"/>
    </row>
    <row r="137" spans="1:46" ht="13" x14ac:dyDescent="0.3">
      <c r="A137" s="157"/>
      <c r="B137" s="322" t="s">
        <v>99</v>
      </c>
      <c r="C137" s="322"/>
      <c r="D137" s="322"/>
      <c r="E137" s="322"/>
      <c r="F137" s="322"/>
      <c r="G137" s="322"/>
      <c r="H137" s="322"/>
      <c r="I137" s="322"/>
      <c r="J137" s="322"/>
      <c r="K137" s="322"/>
      <c r="L137" s="323">
        <f t="shared" si="8"/>
        <v>0</v>
      </c>
      <c r="M137" s="198"/>
      <c r="N137" s="233"/>
      <c r="O137" s="323">
        <f t="shared" si="6"/>
        <v>0</v>
      </c>
      <c r="P137" s="252"/>
      <c r="Q137" s="252"/>
      <c r="R137" s="170">
        <f>O137/10/30586</f>
        <v>0</v>
      </c>
      <c r="S137" s="323" t="e">
        <f>U137+#REF!</f>
        <v>#REF!</v>
      </c>
      <c r="T137" s="246" t="e">
        <f>U137+#REF!</f>
        <v>#REF!</v>
      </c>
      <c r="U137" s="252"/>
      <c r="V137" s="901">
        <v>0</v>
      </c>
      <c r="W137" s="324"/>
      <c r="X137" s="325">
        <v>0</v>
      </c>
      <c r="Y137" s="200"/>
      <c r="Z137" s="276"/>
      <c r="AA137" s="838"/>
      <c r="AB137" s="838"/>
      <c r="AC137" s="838"/>
      <c r="AD137" s="838"/>
      <c r="AE137" s="838"/>
      <c r="AF137" s="838"/>
      <c r="AG137" s="838"/>
      <c r="AH137" s="838"/>
      <c r="AI137" s="838"/>
      <c r="AJ137" s="838"/>
      <c r="AK137" s="838"/>
      <c r="AL137" s="838"/>
      <c r="AM137" s="838"/>
      <c r="AN137" s="838"/>
      <c r="AO137" s="838"/>
      <c r="AP137" s="838"/>
      <c r="AQ137" s="838"/>
      <c r="AR137" s="838"/>
      <c r="AS137" s="838"/>
      <c r="AT137" s="838"/>
    </row>
    <row r="138" spans="1:46" ht="13" x14ac:dyDescent="0.3">
      <c r="A138" s="157"/>
      <c r="B138" s="8" t="s">
        <v>100</v>
      </c>
      <c r="C138" s="8"/>
      <c r="D138" s="8"/>
      <c r="E138" s="8"/>
      <c r="F138" s="8"/>
      <c r="G138" s="842"/>
      <c r="H138" s="842"/>
      <c r="I138" s="842"/>
      <c r="J138" s="842"/>
      <c r="K138" s="842"/>
      <c r="L138" s="326">
        <f t="shared" si="8"/>
        <v>225252</v>
      </c>
      <c r="M138" s="327">
        <v>107868</v>
      </c>
      <c r="N138" s="328">
        <v>117384</v>
      </c>
      <c r="O138" s="329">
        <f t="shared" si="6"/>
        <v>227310</v>
      </c>
      <c r="P138" s="330">
        <f>117390+2000+1700</f>
        <v>121090</v>
      </c>
      <c r="Q138" s="330">
        <f>103320+1200+1700</f>
        <v>106220</v>
      </c>
      <c r="R138" s="170">
        <v>0</v>
      </c>
      <c r="S138" s="326" t="e">
        <f>U138+#REF!</f>
        <v>#REF!</v>
      </c>
      <c r="T138" s="331" t="e">
        <f>U138+#REF!</f>
        <v>#REF!</v>
      </c>
      <c r="U138" s="332">
        <f>117390+2000+1700</f>
        <v>121090</v>
      </c>
      <c r="V138" s="903">
        <f>W138+X138</f>
        <v>283872</v>
      </c>
      <c r="W138" s="899">
        <f>137868</f>
        <v>137868</v>
      </c>
      <c r="X138" s="901">
        <v>146004</v>
      </c>
      <c r="Y138" s="333">
        <v>143004</v>
      </c>
      <c r="Z138" s="316" t="s">
        <v>333</v>
      </c>
      <c r="AA138" s="838"/>
      <c r="AB138" s="838"/>
      <c r="AC138" s="838"/>
      <c r="AD138" s="838"/>
      <c r="AE138" s="838"/>
      <c r="AF138" s="838"/>
      <c r="AG138" s="838"/>
      <c r="AH138" s="838"/>
      <c r="AI138" s="838"/>
      <c r="AJ138" s="838"/>
      <c r="AK138" s="838"/>
      <c r="AL138" s="838"/>
      <c r="AM138" s="838"/>
      <c r="AN138" s="838"/>
      <c r="AO138" s="838"/>
      <c r="AP138" s="838"/>
      <c r="AQ138" s="838"/>
      <c r="AR138" s="838"/>
      <c r="AS138" s="838"/>
      <c r="AT138" s="838"/>
    </row>
    <row r="139" spans="1:46" ht="13" x14ac:dyDescent="0.3">
      <c r="A139" s="157"/>
      <c r="B139" s="8" t="s">
        <v>101</v>
      </c>
      <c r="C139" s="8"/>
      <c r="D139" s="8"/>
      <c r="E139" s="8"/>
      <c r="F139" s="8"/>
      <c r="G139" s="842"/>
      <c r="H139" s="842"/>
      <c r="I139" s="842"/>
      <c r="J139" s="842"/>
      <c r="K139" s="842"/>
      <c r="L139" s="326">
        <f t="shared" si="8"/>
        <v>228000</v>
      </c>
      <c r="M139" s="327">
        <v>132000</v>
      </c>
      <c r="N139" s="328">
        <v>96000</v>
      </c>
      <c r="O139" s="326">
        <f t="shared" si="6"/>
        <v>158000</v>
      </c>
      <c r="P139" s="328">
        <f>80000</f>
        <v>80000</v>
      </c>
      <c r="Q139" s="328">
        <f>78000</f>
        <v>78000</v>
      </c>
      <c r="R139" s="170">
        <v>0</v>
      </c>
      <c r="S139" s="326" t="e">
        <f>U139+#REF!</f>
        <v>#REF!</v>
      </c>
      <c r="T139" s="334" t="e">
        <f>U139+#REF!</f>
        <v>#REF!</v>
      </c>
      <c r="U139" s="328">
        <v>96000</v>
      </c>
      <c r="V139" s="903">
        <f>W139+X139</f>
        <v>192000</v>
      </c>
      <c r="W139" s="899">
        <v>111000</v>
      </c>
      <c r="X139" s="901">
        <v>81000</v>
      </c>
      <c r="Y139" s="333">
        <v>81000</v>
      </c>
      <c r="Z139" s="276"/>
      <c r="AA139" s="838"/>
      <c r="AB139" s="838"/>
      <c r="AC139" s="838"/>
      <c r="AD139" s="838"/>
      <c r="AE139" s="838"/>
      <c r="AF139" s="838"/>
      <c r="AG139" s="838"/>
      <c r="AH139" s="838"/>
      <c r="AI139" s="838"/>
      <c r="AJ139" s="838"/>
      <c r="AK139" s="838"/>
      <c r="AL139" s="838"/>
      <c r="AM139" s="838"/>
      <c r="AN139" s="838"/>
      <c r="AO139" s="838"/>
      <c r="AP139" s="838"/>
      <c r="AQ139" s="838"/>
      <c r="AR139" s="838"/>
      <c r="AS139" s="838"/>
      <c r="AT139" s="838"/>
    </row>
    <row r="140" spans="1:46" hidden="1" x14ac:dyDescent="0.25">
      <c r="A140" s="157"/>
      <c r="B140" s="322"/>
      <c r="C140" s="322"/>
      <c r="D140" s="322"/>
      <c r="E140" s="322"/>
      <c r="F140" s="322"/>
      <c r="G140" s="322"/>
      <c r="H140" s="322"/>
      <c r="I140" s="322"/>
      <c r="J140" s="322"/>
      <c r="K140" s="322"/>
      <c r="L140" s="161"/>
      <c r="M140" s="251"/>
      <c r="N140" s="252"/>
      <c r="O140" s="335"/>
      <c r="P140" s="252"/>
      <c r="Q140" s="252"/>
      <c r="R140" s="199"/>
      <c r="S140" s="161"/>
      <c r="T140" s="254"/>
      <c r="U140" s="252"/>
      <c r="V140" s="901"/>
      <c r="W140" s="336"/>
      <c r="X140" s="901"/>
      <c r="Y140" s="252"/>
      <c r="Z140" s="201"/>
      <c r="AA140" s="838"/>
      <c r="AB140" s="838"/>
      <c r="AC140" s="838"/>
      <c r="AD140" s="838"/>
      <c r="AE140" s="838"/>
      <c r="AF140" s="838"/>
      <c r="AG140" s="838"/>
      <c r="AH140" s="838"/>
      <c r="AI140" s="838"/>
      <c r="AJ140" s="838"/>
      <c r="AK140" s="838"/>
      <c r="AL140" s="838"/>
      <c r="AM140" s="838"/>
      <c r="AN140" s="838"/>
      <c r="AO140" s="838"/>
      <c r="AP140" s="838"/>
      <c r="AQ140" s="838"/>
      <c r="AR140" s="838"/>
      <c r="AS140" s="838"/>
      <c r="AT140" s="838"/>
    </row>
    <row r="141" spans="1:46" ht="13" x14ac:dyDescent="0.3">
      <c r="A141" s="157"/>
      <c r="B141" s="322" t="s">
        <v>102</v>
      </c>
      <c r="C141" s="322"/>
      <c r="D141" s="322"/>
      <c r="E141" s="322"/>
      <c r="F141" s="322"/>
      <c r="G141" s="322" t="s">
        <v>103</v>
      </c>
      <c r="H141" s="322"/>
      <c r="I141" s="322"/>
      <c r="J141" s="322"/>
      <c r="K141" s="322"/>
      <c r="L141" s="323">
        <f>M141+N141</f>
        <v>0</v>
      </c>
      <c r="M141" s="337"/>
      <c r="N141" s="338"/>
      <c r="O141" s="339">
        <f>P141+Q141</f>
        <v>180</v>
      </c>
      <c r="P141" s="340"/>
      <c r="Q141" s="341">
        <v>180</v>
      </c>
      <c r="R141" s="170">
        <v>0</v>
      </c>
      <c r="S141" s="323" t="e">
        <f>U141+#REF!</f>
        <v>#REF!</v>
      </c>
      <c r="T141" s="334" t="e">
        <f>U141+#REF!</f>
        <v>#REF!</v>
      </c>
      <c r="U141" s="338"/>
      <c r="V141" s="903">
        <f>W141+X141</f>
        <v>9600</v>
      </c>
      <c r="W141" s="342">
        <v>4800</v>
      </c>
      <c r="X141" s="901">
        <v>4800</v>
      </c>
      <c r="Y141" s="328">
        <v>0</v>
      </c>
      <c r="Z141" s="276"/>
      <c r="AA141" s="838"/>
      <c r="AB141" s="838"/>
      <c r="AC141" s="838"/>
      <c r="AD141" s="838"/>
      <c r="AE141" s="838"/>
      <c r="AF141" s="838"/>
      <c r="AG141" s="838"/>
      <c r="AH141" s="838"/>
      <c r="AI141" s="838"/>
      <c r="AJ141" s="838"/>
      <c r="AK141" s="838"/>
      <c r="AL141" s="838"/>
      <c r="AM141" s="838"/>
      <c r="AN141" s="838"/>
      <c r="AO141" s="838"/>
      <c r="AP141" s="838"/>
      <c r="AQ141" s="838"/>
      <c r="AR141" s="838"/>
      <c r="AS141" s="838"/>
      <c r="AT141" s="838"/>
    </row>
    <row r="142" spans="1:46" ht="12" customHeight="1" thickBot="1" x14ac:dyDescent="0.35">
      <c r="A142" s="131"/>
      <c r="B142" s="343" t="s">
        <v>104</v>
      </c>
      <c r="C142" s="343"/>
      <c r="D142" s="343"/>
      <c r="E142" s="343"/>
      <c r="F142" s="343"/>
      <c r="G142" s="844"/>
      <c r="H142" s="844"/>
      <c r="I142" s="848"/>
      <c r="J142" s="848"/>
      <c r="K142" s="844"/>
      <c r="L142" s="345">
        <f>M142+N142</f>
        <v>25000</v>
      </c>
      <c r="M142" s="346">
        <v>12500</v>
      </c>
      <c r="N142" s="347">
        <v>12500</v>
      </c>
      <c r="O142" s="348">
        <f>P142+Q142</f>
        <v>53888.740000000005</v>
      </c>
      <c r="P142" s="349">
        <f>200+275.5+2250+1000+2750+8473.75+83+8942.7</f>
        <v>23974.95</v>
      </c>
      <c r="Q142" s="349">
        <f>750+1340.99+350+9973.36+8473.74+83+8942.7</f>
        <v>29913.79</v>
      </c>
      <c r="R142" s="170">
        <f>O142/10/30586</f>
        <v>0.17618760217092791</v>
      </c>
      <c r="S142" s="345" t="e">
        <f>U142+#REF!</f>
        <v>#REF!</v>
      </c>
      <c r="T142" s="348" t="e">
        <f>U142+#REF!</f>
        <v>#REF!</v>
      </c>
      <c r="U142" s="349">
        <v>28770</v>
      </c>
      <c r="V142" s="903">
        <f>W142+X142</f>
        <v>37000</v>
      </c>
      <c r="W142" s="214">
        <v>18500</v>
      </c>
      <c r="X142" s="904">
        <v>18500</v>
      </c>
      <c r="Y142" s="347">
        <v>20000</v>
      </c>
      <c r="Z142" s="316"/>
      <c r="AA142" s="838"/>
      <c r="AB142" s="838"/>
      <c r="AC142" s="838"/>
      <c r="AD142" s="838"/>
      <c r="AE142" s="838"/>
      <c r="AF142" s="838"/>
      <c r="AG142" s="838"/>
      <c r="AH142" s="838"/>
      <c r="AI142" s="838"/>
      <c r="AJ142" s="838"/>
      <c r="AK142" s="838"/>
      <c r="AL142" s="838"/>
      <c r="AM142" s="838"/>
      <c r="AN142" s="838"/>
      <c r="AO142" s="838"/>
      <c r="AP142" s="838"/>
      <c r="AQ142" s="838"/>
      <c r="AR142" s="838"/>
      <c r="AS142" s="838"/>
      <c r="AT142" s="838"/>
    </row>
    <row r="143" spans="1:46" ht="13" hidden="1" thickBot="1" x14ac:dyDescent="0.3">
      <c r="A143" s="838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350"/>
      <c r="M143" s="244"/>
      <c r="N143" s="245"/>
      <c r="O143" s="351"/>
      <c r="P143" s="245"/>
      <c r="Q143" s="245"/>
      <c r="R143" s="352"/>
      <c r="S143" s="350"/>
      <c r="T143" s="353"/>
      <c r="U143" s="245"/>
      <c r="V143" s="350"/>
      <c r="W143" s="354"/>
      <c r="X143" s="245"/>
      <c r="Y143" s="248"/>
      <c r="Z143" s="201"/>
      <c r="AA143" s="838"/>
      <c r="AB143" s="838"/>
      <c r="AC143" s="838"/>
      <c r="AD143" s="838"/>
      <c r="AE143" s="838"/>
      <c r="AF143" s="838"/>
      <c r="AG143" s="838"/>
      <c r="AH143" s="838"/>
      <c r="AI143" s="838"/>
      <c r="AJ143" s="838"/>
      <c r="AK143" s="838"/>
      <c r="AL143" s="838"/>
      <c r="AM143" s="838"/>
      <c r="AN143" s="838"/>
      <c r="AO143" s="838"/>
      <c r="AP143" s="838"/>
      <c r="AQ143" s="838"/>
      <c r="AR143" s="838"/>
      <c r="AS143" s="838"/>
      <c r="AT143" s="838"/>
    </row>
    <row r="144" spans="1:46" ht="13" hidden="1" thickBot="1" x14ac:dyDescent="0.3">
      <c r="A144" s="838"/>
      <c r="B144" s="104"/>
      <c r="C144" s="104"/>
      <c r="D144" s="104"/>
      <c r="E144" s="104"/>
      <c r="F144" s="104"/>
      <c r="G144" s="842"/>
      <c r="H144" s="842"/>
      <c r="I144" s="842"/>
      <c r="J144" s="842"/>
      <c r="K144" s="842"/>
      <c r="L144" s="161"/>
      <c r="M144" s="251"/>
      <c r="N144" s="252"/>
      <c r="O144" s="335"/>
      <c r="P144" s="252"/>
      <c r="Q144" s="252"/>
      <c r="R144" s="199"/>
      <c r="S144" s="161"/>
      <c r="T144" s="254"/>
      <c r="U144" s="252"/>
      <c r="V144" s="161"/>
      <c r="W144" s="161"/>
      <c r="X144" s="252"/>
      <c r="Y144" s="200"/>
      <c r="Z144" s="201"/>
      <c r="AA144" s="838"/>
      <c r="AB144" s="838"/>
      <c r="AC144" s="838"/>
      <c r="AD144" s="838"/>
      <c r="AE144" s="838"/>
      <c r="AF144" s="838"/>
      <c r="AG144" s="838"/>
      <c r="AH144" s="838"/>
      <c r="AI144" s="838"/>
      <c r="AJ144" s="838"/>
      <c r="AK144" s="838"/>
      <c r="AL144" s="838"/>
      <c r="AM144" s="838"/>
      <c r="AN144" s="838"/>
      <c r="AO144" s="838"/>
      <c r="AP144" s="838"/>
      <c r="AQ144" s="838"/>
      <c r="AR144" s="838"/>
      <c r="AS144" s="838"/>
      <c r="AT144" s="838"/>
    </row>
    <row r="145" spans="1:46" ht="13.5" hidden="1" thickBot="1" x14ac:dyDescent="0.35">
      <c r="A145" s="838"/>
      <c r="B145" s="355"/>
      <c r="C145" s="343"/>
      <c r="D145" s="343"/>
      <c r="E145" s="343"/>
      <c r="F145" s="356"/>
      <c r="G145" s="844"/>
      <c r="H145" s="844"/>
      <c r="I145" s="844"/>
      <c r="J145" s="844"/>
      <c r="K145" s="844"/>
      <c r="L145" s="161"/>
      <c r="M145" s="346"/>
      <c r="N145" s="347"/>
      <c r="O145" s="335"/>
      <c r="P145" s="347"/>
      <c r="Q145" s="347"/>
      <c r="R145" s="199"/>
      <c r="S145" s="161"/>
      <c r="T145" s="254"/>
      <c r="U145" s="347"/>
      <c r="V145" s="161"/>
      <c r="W145" s="161"/>
      <c r="X145" s="347"/>
      <c r="Y145" s="215"/>
      <c r="Z145" s="201"/>
      <c r="AA145" s="838"/>
      <c r="AB145" s="838"/>
      <c r="AC145" s="838"/>
      <c r="AD145" s="838"/>
      <c r="AE145" s="838"/>
      <c r="AF145" s="838"/>
      <c r="AG145" s="838"/>
      <c r="AH145" s="838"/>
      <c r="AI145" s="838"/>
      <c r="AJ145" s="838"/>
      <c r="AK145" s="838"/>
      <c r="AL145" s="838"/>
      <c r="AM145" s="838"/>
      <c r="AN145" s="838"/>
      <c r="AO145" s="838"/>
      <c r="AP145" s="838"/>
      <c r="AQ145" s="838"/>
      <c r="AR145" s="838"/>
      <c r="AS145" s="838"/>
      <c r="AT145" s="838"/>
    </row>
    <row r="146" spans="1:46" ht="0.75" hidden="1" customHeight="1" x14ac:dyDescent="0.25">
      <c r="A146" s="838"/>
      <c r="B146" s="322"/>
      <c r="C146" s="322"/>
      <c r="D146" s="322"/>
      <c r="E146" s="322"/>
      <c r="F146" s="322"/>
      <c r="G146" s="842"/>
      <c r="H146" s="842"/>
      <c r="I146" s="842"/>
      <c r="J146" s="842"/>
      <c r="K146" s="842"/>
      <c r="L146" s="357"/>
      <c r="M146" s="358"/>
      <c r="N146" s="359"/>
      <c r="O146" s="360"/>
      <c r="P146" s="359"/>
      <c r="Q146" s="359"/>
      <c r="R146" s="361"/>
      <c r="S146" s="357"/>
      <c r="T146" s="362"/>
      <c r="U146" s="359"/>
      <c r="V146" s="357"/>
      <c r="W146" s="357"/>
      <c r="X146" s="359"/>
      <c r="Y146" s="271"/>
      <c r="Z146" s="201"/>
      <c r="AA146" s="838"/>
      <c r="AB146" s="838"/>
      <c r="AC146" s="838"/>
      <c r="AD146" s="838"/>
      <c r="AE146" s="838"/>
      <c r="AF146" s="838"/>
      <c r="AG146" s="838"/>
      <c r="AH146" s="838"/>
      <c r="AI146" s="838"/>
      <c r="AJ146" s="838"/>
      <c r="AK146" s="838"/>
      <c r="AL146" s="838"/>
      <c r="AM146" s="838"/>
      <c r="AN146" s="838"/>
      <c r="AO146" s="838"/>
      <c r="AP146" s="838"/>
      <c r="AQ146" s="838"/>
      <c r="AR146" s="838"/>
      <c r="AS146" s="838"/>
      <c r="AT146" s="838"/>
    </row>
    <row r="147" spans="1:46" s="104" customFormat="1" ht="15.75" customHeight="1" x14ac:dyDescent="0.3">
      <c r="A147" s="363"/>
      <c r="B147" s="364" t="s">
        <v>105</v>
      </c>
      <c r="C147" s="849"/>
      <c r="D147" s="849"/>
      <c r="E147" s="849"/>
      <c r="F147" s="849"/>
      <c r="G147" s="849"/>
      <c r="H147" s="849"/>
      <c r="I147" s="849"/>
      <c r="J147" s="849"/>
      <c r="K147" s="849"/>
      <c r="L147" s="365">
        <f>M147+N147</f>
        <v>300000</v>
      </c>
      <c r="M147" s="219">
        <f>M148+M154+M155+M157+M163</f>
        <v>145000</v>
      </c>
      <c r="N147" s="219">
        <f>N148+N154+N155+N157+N163</f>
        <v>155000</v>
      </c>
      <c r="O147" s="366">
        <f>P147+Q147</f>
        <v>278612.70999999996</v>
      </c>
      <c r="P147" s="861">
        <f>P148+P154+P155+P157+P163</f>
        <v>129224.34999999999</v>
      </c>
      <c r="Q147" s="861">
        <f>Q148+Q154+Q155+Q157+Q163</f>
        <v>149388.35999999999</v>
      </c>
      <c r="R147" s="368">
        <f>R148+R154+R155+R157+R163</f>
        <v>0.91091581115543052</v>
      </c>
      <c r="S147" s="369">
        <f>R147/R234*100</f>
        <v>3.5196305525690161</v>
      </c>
      <c r="T147" s="370" t="e">
        <f>U147+#REF!</f>
        <v>#REF!</v>
      </c>
      <c r="U147" s="371">
        <f>U148+U154+U155+U157+U163</f>
        <v>147206.5</v>
      </c>
      <c r="V147" s="861">
        <f>V148+V154+V155+V157+V159+V160+V161+V162+V163</f>
        <v>590000</v>
      </c>
      <c r="W147" s="861">
        <f>W148+W154+W155+W157+W159+W160+W161+W162+W163</f>
        <v>460000</v>
      </c>
      <c r="X147" s="861">
        <f>X148+X154+X155+X157+X159+X160+X161+X162+X163</f>
        <v>130000</v>
      </c>
      <c r="Y147" s="372"/>
      <c r="Z147" s="268"/>
      <c r="AA147" s="850"/>
      <c r="AB147" s="850"/>
      <c r="AC147" s="850"/>
      <c r="AD147" s="850"/>
      <c r="AE147" s="850"/>
      <c r="AF147" s="850"/>
      <c r="AG147" s="850"/>
      <c r="AH147" s="850"/>
      <c r="AI147" s="850"/>
      <c r="AJ147" s="850"/>
      <c r="AK147" s="850"/>
      <c r="AL147" s="850"/>
      <c r="AM147" s="850"/>
      <c r="AN147" s="850"/>
      <c r="AO147" s="850"/>
      <c r="AP147" s="850"/>
      <c r="AQ147" s="850"/>
      <c r="AR147" s="850"/>
      <c r="AS147" s="850"/>
      <c r="AT147" s="850"/>
    </row>
    <row r="148" spans="1:46" ht="13" x14ac:dyDescent="0.3">
      <c r="A148" s="865"/>
      <c r="B148" s="851" t="s">
        <v>106</v>
      </c>
      <c r="C148" s="885"/>
      <c r="D148" s="885"/>
      <c r="E148" s="885"/>
      <c r="F148" s="885"/>
      <c r="G148" s="885"/>
      <c r="H148" s="885"/>
      <c r="I148" s="885"/>
      <c r="J148" s="1227" t="s">
        <v>419</v>
      </c>
      <c r="K148" s="885"/>
      <c r="L148" s="235">
        <f>M148+N148</f>
        <v>90000</v>
      </c>
      <c r="M148" s="875">
        <v>35000</v>
      </c>
      <c r="N148" s="875">
        <v>55000</v>
      </c>
      <c r="O148" s="235">
        <f>P148+Q148</f>
        <v>0</v>
      </c>
      <c r="P148" s="875">
        <f>P149+P151+P152</f>
        <v>0</v>
      </c>
      <c r="Q148" s="875">
        <f>Q149+Q151+Q152</f>
        <v>0</v>
      </c>
      <c r="R148" s="375">
        <f>O148/12/30586</f>
        <v>0</v>
      </c>
      <c r="S148" s="235" t="e">
        <f>U148+#REF!</f>
        <v>#REF!</v>
      </c>
      <c r="T148" s="235" t="e">
        <f>U148+#REF!</f>
        <v>#REF!</v>
      </c>
      <c r="U148" s="875">
        <f>U149+U151+U152</f>
        <v>0</v>
      </c>
      <c r="V148" s="854">
        <f>V149+V151+V152</f>
        <v>0</v>
      </c>
      <c r="W148" s="416">
        <f>X148+Y148</f>
        <v>0</v>
      </c>
      <c r="X148" s="854">
        <f>X149+X151+X152</f>
        <v>0</v>
      </c>
      <c r="Y148" s="200"/>
      <c r="Z148" s="1075" t="s">
        <v>369</v>
      </c>
      <c r="AA148" s="593"/>
      <c r="AB148" s="838"/>
      <c r="AC148" s="838"/>
      <c r="AD148" s="838"/>
      <c r="AE148" s="838"/>
      <c r="AF148" s="838"/>
      <c r="AG148" s="838"/>
      <c r="AH148" s="838"/>
      <c r="AI148" s="838"/>
      <c r="AJ148" s="838"/>
      <c r="AK148" s="838"/>
      <c r="AL148" s="838"/>
      <c r="AM148" s="838"/>
      <c r="AN148" s="838"/>
      <c r="AO148" s="838"/>
      <c r="AP148" s="838"/>
      <c r="AQ148" s="838"/>
      <c r="AR148" s="838"/>
      <c r="AS148" s="838"/>
      <c r="AT148" s="838"/>
    </row>
    <row r="149" spans="1:46" ht="13" x14ac:dyDescent="0.3">
      <c r="A149" s="865"/>
      <c r="B149" s="377" t="s">
        <v>107</v>
      </c>
      <c r="C149" s="842"/>
      <c r="D149" s="842"/>
      <c r="E149" s="842"/>
      <c r="F149" s="847"/>
      <c r="G149" s="842"/>
      <c r="H149" s="842"/>
      <c r="I149" s="847"/>
      <c r="J149" s="1228" t="s">
        <v>108</v>
      </c>
      <c r="K149" s="842"/>
      <c r="L149" s="852"/>
      <c r="M149" s="198"/>
      <c r="N149" s="198">
        <v>20000</v>
      </c>
      <c r="O149" s="852"/>
      <c r="P149" s="198"/>
      <c r="Q149" s="198"/>
      <c r="R149" s="378"/>
      <c r="S149" s="852"/>
      <c r="T149" s="379"/>
      <c r="U149" s="252"/>
      <c r="V149" s="884">
        <f>W149+X149</f>
        <v>0</v>
      </c>
      <c r="W149" s="936">
        <v>0</v>
      </c>
      <c r="X149" s="884">
        <v>0</v>
      </c>
      <c r="Y149" s="200"/>
      <c r="Z149" s="1076"/>
      <c r="AA149" s="593"/>
      <c r="AB149" s="838"/>
      <c r="AC149" s="838"/>
      <c r="AD149" s="838"/>
      <c r="AE149" s="838"/>
      <c r="AF149" s="838"/>
      <c r="AG149" s="838"/>
      <c r="AH149" s="838"/>
      <c r="AI149" s="838"/>
      <c r="AJ149" s="838"/>
      <c r="AK149" s="838"/>
      <c r="AL149" s="838"/>
      <c r="AM149" s="838"/>
      <c r="AN149" s="838"/>
      <c r="AO149" s="838"/>
      <c r="AP149" s="838"/>
      <c r="AQ149" s="838"/>
      <c r="AR149" s="838"/>
      <c r="AS149" s="838"/>
      <c r="AT149" s="838"/>
    </row>
    <row r="150" spans="1:46" ht="13" x14ac:dyDescent="0.3">
      <c r="A150" s="865"/>
      <c r="B150" s="377" t="s">
        <v>420</v>
      </c>
      <c r="C150" s="842"/>
      <c r="D150" s="842"/>
      <c r="E150" s="842"/>
      <c r="F150" s="847"/>
      <c r="G150" s="842"/>
      <c r="H150" s="842"/>
      <c r="I150" s="847"/>
      <c r="J150" s="1227" t="s">
        <v>419</v>
      </c>
      <c r="K150" s="842"/>
      <c r="L150" s="165"/>
      <c r="M150" s="198"/>
      <c r="N150" s="198"/>
      <c r="O150" s="165"/>
      <c r="P150" s="198"/>
      <c r="Q150" s="198"/>
      <c r="R150" s="240"/>
      <c r="S150" s="165"/>
      <c r="T150" s="246"/>
      <c r="U150" s="252"/>
      <c r="V150" s="884"/>
      <c r="W150" s="901"/>
      <c r="X150" s="884"/>
      <c r="Y150" s="200"/>
      <c r="Z150" s="1075" t="s">
        <v>337</v>
      </c>
      <c r="AA150" s="1075" t="s">
        <v>338</v>
      </c>
      <c r="AB150" s="838"/>
      <c r="AC150" s="838"/>
      <c r="AD150" s="838"/>
      <c r="AE150" s="838"/>
      <c r="AF150" s="838"/>
      <c r="AG150" s="838"/>
      <c r="AH150" s="838"/>
      <c r="AI150" s="838"/>
      <c r="AJ150" s="838"/>
      <c r="AK150" s="838"/>
      <c r="AL150" s="838"/>
      <c r="AM150" s="838"/>
      <c r="AN150" s="838"/>
      <c r="AO150" s="838"/>
      <c r="AP150" s="838"/>
      <c r="AQ150" s="838"/>
      <c r="AR150" s="838"/>
      <c r="AS150" s="838"/>
      <c r="AT150" s="838"/>
    </row>
    <row r="151" spans="1:46" ht="13" x14ac:dyDescent="0.3">
      <c r="A151" s="865"/>
      <c r="B151" s="1229" t="s">
        <v>421</v>
      </c>
      <c r="C151" s="842"/>
      <c r="D151" s="842"/>
      <c r="E151" s="842"/>
      <c r="F151" s="847"/>
      <c r="G151" s="842"/>
      <c r="H151" s="842"/>
      <c r="I151" s="847"/>
      <c r="J151" s="847"/>
      <c r="K151" s="842"/>
      <c r="L151" s="165">
        <v>0</v>
      </c>
      <c r="M151" s="198"/>
      <c r="N151" s="198"/>
      <c r="O151" s="165">
        <f>P151</f>
        <v>0</v>
      </c>
      <c r="P151" s="198"/>
      <c r="Q151" s="198"/>
      <c r="R151" s="240">
        <v>0</v>
      </c>
      <c r="S151" s="165">
        <v>0</v>
      </c>
      <c r="T151" s="246">
        <f>U151</f>
        <v>0</v>
      </c>
      <c r="U151" s="252"/>
      <c r="V151" s="884">
        <f>W151+X151</f>
        <v>0</v>
      </c>
      <c r="W151" s="901">
        <f>X151</f>
        <v>0</v>
      </c>
      <c r="X151" s="884">
        <v>0</v>
      </c>
      <c r="Y151" s="200"/>
      <c r="Z151" s="1077">
        <v>5426</v>
      </c>
      <c r="AA151" s="1078">
        <v>17687</v>
      </c>
      <c r="AB151" s="838"/>
      <c r="AC151" s="838"/>
      <c r="AD151" s="838"/>
      <c r="AE151" s="838"/>
      <c r="AF151" s="838"/>
      <c r="AG151" s="838"/>
      <c r="AH151" s="838"/>
      <c r="AI151" s="838"/>
      <c r="AJ151" s="838"/>
      <c r="AK151" s="838"/>
      <c r="AL151" s="838"/>
      <c r="AM151" s="838"/>
      <c r="AN151" s="838"/>
      <c r="AO151" s="838"/>
      <c r="AP151" s="838"/>
      <c r="AQ151" s="838"/>
      <c r="AR151" s="838"/>
      <c r="AS151" s="838"/>
      <c r="AT151" s="838"/>
    </row>
    <row r="152" spans="1:46" ht="13" x14ac:dyDescent="0.3">
      <c r="A152" s="865"/>
      <c r="B152" s="1229" t="s">
        <v>109</v>
      </c>
      <c r="C152" s="63"/>
      <c r="D152" s="63"/>
      <c r="E152" s="63"/>
      <c r="F152" s="896"/>
      <c r="G152" s="63"/>
      <c r="H152" s="842"/>
      <c r="I152" s="847"/>
      <c r="J152" s="1227" t="s">
        <v>419</v>
      </c>
      <c r="K152" s="842"/>
      <c r="L152" s="235">
        <f>M152+N152</f>
        <v>70000</v>
      </c>
      <c r="M152" s="198">
        <v>35000</v>
      </c>
      <c r="N152" s="198">
        <v>35000</v>
      </c>
      <c r="O152" s="339">
        <v>0</v>
      </c>
      <c r="P152" s="381"/>
      <c r="Q152" s="381"/>
      <c r="R152" s="297">
        <v>0</v>
      </c>
      <c r="S152" s="235">
        <v>0</v>
      </c>
      <c r="T152" s="334">
        <v>0</v>
      </c>
      <c r="U152" s="252"/>
      <c r="V152" s="884">
        <f>W152+X152</f>
        <v>0</v>
      </c>
      <c r="W152" s="418">
        <v>0</v>
      </c>
      <c r="X152" s="884">
        <v>0</v>
      </c>
      <c r="Y152" s="200"/>
      <c r="Z152" s="1077">
        <v>1300</v>
      </c>
      <c r="AA152" s="1078">
        <v>2000</v>
      </c>
      <c r="AB152" s="1159" t="s">
        <v>371</v>
      </c>
      <c r="AC152" s="838"/>
      <c r="AD152" s="838"/>
      <c r="AE152" s="838"/>
      <c r="AF152" s="838"/>
      <c r="AG152" s="838"/>
      <c r="AH152" s="838"/>
      <c r="AI152" s="838"/>
      <c r="AJ152" s="838"/>
      <c r="AK152" s="838"/>
      <c r="AL152" s="838"/>
      <c r="AM152" s="838"/>
      <c r="AN152" s="838"/>
      <c r="AO152" s="838"/>
      <c r="AP152" s="838"/>
      <c r="AQ152" s="838"/>
      <c r="AR152" s="838"/>
      <c r="AS152" s="838"/>
      <c r="AT152" s="838"/>
    </row>
    <row r="153" spans="1:46" ht="13" x14ac:dyDescent="0.3">
      <c r="A153" s="865"/>
      <c r="B153" s="851" t="s">
        <v>110</v>
      </c>
      <c r="C153" s="842"/>
      <c r="D153" s="842"/>
      <c r="E153" s="842"/>
      <c r="F153" s="847"/>
      <c r="G153" s="842"/>
      <c r="H153" s="842"/>
      <c r="I153" s="847"/>
      <c r="J153" s="847"/>
      <c r="K153" s="842"/>
      <c r="L153" s="235"/>
      <c r="M153" s="198"/>
      <c r="N153" s="198"/>
      <c r="O153" s="235"/>
      <c r="P153" s="198"/>
      <c r="Q153" s="198"/>
      <c r="R153" s="297"/>
      <c r="S153" s="235"/>
      <c r="T153" s="334"/>
      <c r="U153" s="252"/>
      <c r="V153" s="884"/>
      <c r="W153" s="418"/>
      <c r="X153" s="884"/>
      <c r="Y153" s="200"/>
      <c r="Z153" s="1075"/>
      <c r="AA153" s="996"/>
      <c r="AB153" s="838"/>
      <c r="AC153" s="838"/>
      <c r="AD153" s="838"/>
      <c r="AE153" s="838"/>
      <c r="AF153" s="838"/>
      <c r="AG153" s="838"/>
      <c r="AH153" s="838"/>
      <c r="AI153" s="838"/>
      <c r="AJ153" s="838"/>
      <c r="AK153" s="838"/>
      <c r="AL153" s="838"/>
      <c r="AM153" s="838"/>
      <c r="AN153" s="838"/>
      <c r="AO153" s="838"/>
      <c r="AP153" s="838"/>
      <c r="AQ153" s="838"/>
      <c r="AR153" s="838"/>
      <c r="AS153" s="838"/>
      <c r="AT153" s="838"/>
    </row>
    <row r="154" spans="1:46" ht="13" x14ac:dyDescent="0.3">
      <c r="A154" s="865"/>
      <c r="B154" s="377" t="s">
        <v>111</v>
      </c>
      <c r="C154" s="842"/>
      <c r="D154" s="842"/>
      <c r="E154" s="842"/>
      <c r="F154" s="847"/>
      <c r="G154" s="842"/>
      <c r="H154" s="842"/>
      <c r="I154" s="847"/>
      <c r="J154" s="847"/>
      <c r="K154" s="842"/>
      <c r="L154" s="235">
        <f>M154+N154</f>
        <v>80000</v>
      </c>
      <c r="M154" s="198">
        <v>40000</v>
      </c>
      <c r="N154" s="198">
        <v>40000</v>
      </c>
      <c r="O154" s="329">
        <f>P154+Q154</f>
        <v>15314.08</v>
      </c>
      <c r="P154" s="383">
        <f>1500+2150+2586.4+957.68+750</f>
        <v>7944.08</v>
      </c>
      <c r="Q154" s="383">
        <f>4670+1300+1400</f>
        <v>7370</v>
      </c>
      <c r="R154" s="226">
        <f>O154/10/30586</f>
        <v>5.0068920421107693E-2</v>
      </c>
      <c r="S154" s="235" t="e">
        <f>U154+#REF!</f>
        <v>#REF!</v>
      </c>
      <c r="T154" s="329" t="e">
        <f>U154+#REF!</f>
        <v>#REF!</v>
      </c>
      <c r="U154" s="383">
        <v>9550</v>
      </c>
      <c r="V154" s="855">
        <f>W154+X154</f>
        <v>20000</v>
      </c>
      <c r="W154" s="456">
        <f>X154+Y154</f>
        <v>10000</v>
      </c>
      <c r="X154" s="937">
        <v>10000</v>
      </c>
      <c r="Y154" s="200"/>
      <c r="Z154" s="1077"/>
      <c r="AA154" s="1078"/>
      <c r="AB154" s="838"/>
      <c r="AC154" s="838"/>
      <c r="AD154" s="838"/>
      <c r="AE154" s="838"/>
      <c r="AF154" s="838"/>
      <c r="AG154" s="838"/>
      <c r="AH154" s="838"/>
      <c r="AI154" s="838"/>
      <c r="AJ154" s="838"/>
      <c r="AK154" s="838"/>
      <c r="AL154" s="838"/>
      <c r="AM154" s="838"/>
      <c r="AN154" s="838"/>
      <c r="AO154" s="838"/>
      <c r="AP154" s="838"/>
      <c r="AQ154" s="838"/>
      <c r="AR154" s="838"/>
      <c r="AS154" s="838"/>
      <c r="AT154" s="838"/>
    </row>
    <row r="155" spans="1:46" ht="13" x14ac:dyDescent="0.3">
      <c r="A155" s="865"/>
      <c r="B155" s="851" t="s">
        <v>112</v>
      </c>
      <c r="C155" s="842"/>
      <c r="D155" s="842"/>
      <c r="E155" s="842"/>
      <c r="F155" s="847"/>
      <c r="G155" s="842"/>
      <c r="H155" s="842"/>
      <c r="I155" s="847"/>
      <c r="J155" s="847"/>
      <c r="K155" s="842"/>
      <c r="L155" s="235">
        <f>M155+N155</f>
        <v>20000</v>
      </c>
      <c r="M155" s="198">
        <v>10000</v>
      </c>
      <c r="N155" s="198">
        <v>10000</v>
      </c>
      <c r="O155" s="329">
        <f>P155+Q155</f>
        <v>69319</v>
      </c>
      <c r="P155" s="383">
        <f>4500+1000+2325+4480</f>
        <v>12305</v>
      </c>
      <c r="Q155" s="383">
        <f>600+3126+2600+50688</f>
        <v>57014</v>
      </c>
      <c r="R155" s="226">
        <f>O155/10/30586</f>
        <v>0.22663636958085398</v>
      </c>
      <c r="S155" s="235" t="e">
        <f>U155+#REF!</f>
        <v>#REF!</v>
      </c>
      <c r="T155" s="329" t="e">
        <f>U155+#REF!</f>
        <v>#REF!</v>
      </c>
      <c r="U155" s="383">
        <v>14766</v>
      </c>
      <c r="V155" s="855">
        <f>W155+X155</f>
        <v>50000</v>
      </c>
      <c r="W155" s="456">
        <f>X155+Y155</f>
        <v>25000</v>
      </c>
      <c r="X155" s="937">
        <v>25000</v>
      </c>
      <c r="Y155" s="200"/>
      <c r="Z155" s="1077">
        <v>12126</v>
      </c>
      <c r="AA155" s="1078">
        <v>4717</v>
      </c>
      <c r="AB155" s="838"/>
      <c r="AC155" s="838"/>
      <c r="AD155" s="838"/>
      <c r="AE155" s="838"/>
      <c r="AF155" s="838"/>
      <c r="AG155" s="838"/>
      <c r="AH155" s="838"/>
      <c r="AI155" s="838"/>
      <c r="AJ155" s="838"/>
      <c r="AK155" s="838"/>
      <c r="AL155" s="838"/>
      <c r="AM155" s="838"/>
      <c r="AN155" s="838"/>
      <c r="AO155" s="838"/>
      <c r="AP155" s="838"/>
      <c r="AQ155" s="838"/>
      <c r="AR155" s="838"/>
      <c r="AS155" s="838"/>
      <c r="AT155" s="838"/>
    </row>
    <row r="156" spans="1:46" ht="13" x14ac:dyDescent="0.3">
      <c r="A156" s="865"/>
      <c r="B156" s="853" t="s">
        <v>113</v>
      </c>
      <c r="C156" s="842"/>
      <c r="D156" s="842"/>
      <c r="E156" s="842"/>
      <c r="F156" s="847"/>
      <c r="G156" s="842"/>
      <c r="H156" s="842"/>
      <c r="I156" s="847"/>
      <c r="J156" s="847"/>
      <c r="K156" s="842"/>
      <c r="L156" s="235"/>
      <c r="M156" s="198"/>
      <c r="N156" s="198"/>
      <c r="O156" s="235"/>
      <c r="P156" s="198"/>
      <c r="Q156" s="198"/>
      <c r="R156" s="297"/>
      <c r="S156" s="235"/>
      <c r="T156" s="334"/>
      <c r="U156" s="252"/>
      <c r="V156" s="884"/>
      <c r="W156" s="418"/>
      <c r="X156" s="884"/>
      <c r="Y156" s="200"/>
      <c r="Z156" s="1079">
        <v>8790</v>
      </c>
      <c r="AA156" s="1094">
        <v>4365</v>
      </c>
      <c r="AB156" s="1095" t="s">
        <v>342</v>
      </c>
      <c r="AC156" s="838"/>
      <c r="AD156" s="838"/>
      <c r="AE156" s="838"/>
      <c r="AF156" s="838"/>
      <c r="AG156" s="838"/>
      <c r="AH156" s="838"/>
      <c r="AI156" s="838"/>
      <c r="AJ156" s="838"/>
      <c r="AK156" s="838"/>
      <c r="AL156" s="838"/>
      <c r="AM156" s="838"/>
      <c r="AN156" s="838"/>
      <c r="AO156" s="838"/>
      <c r="AP156" s="838"/>
      <c r="AQ156" s="838"/>
      <c r="AR156" s="838"/>
      <c r="AS156" s="838"/>
      <c r="AT156" s="838"/>
    </row>
    <row r="157" spans="1:46" ht="13" x14ac:dyDescent="0.3">
      <c r="A157" s="865"/>
      <c r="B157" s="851" t="s">
        <v>303</v>
      </c>
      <c r="C157" s="842"/>
      <c r="D157" s="842"/>
      <c r="E157" s="842"/>
      <c r="F157" s="847"/>
      <c r="G157" s="842"/>
      <c r="H157" s="842"/>
      <c r="I157" s="847"/>
      <c r="J157" s="847"/>
      <c r="K157" s="842"/>
      <c r="L157" s="235">
        <f>M157+N157</f>
        <v>60000</v>
      </c>
      <c r="M157" s="198">
        <v>30000</v>
      </c>
      <c r="N157" s="198">
        <v>30000</v>
      </c>
      <c r="O157" s="339">
        <f>P157+Q157</f>
        <v>49789.979999999996</v>
      </c>
      <c r="P157" s="381">
        <f>31180.7+1950+1626.5+49.5+200+3637.17+1620+1279</f>
        <v>41542.869999999995</v>
      </c>
      <c r="Q157" s="381">
        <f>585+1500+500+400+385.5+300+1797.61+1500+1279</f>
        <v>8247.11</v>
      </c>
      <c r="R157" s="226">
        <f>O157/10/30586</f>
        <v>0.16278683057608054</v>
      </c>
      <c r="S157" s="235" t="e">
        <f>U157+#REF!</f>
        <v>#REF!</v>
      </c>
      <c r="T157" s="329" t="e">
        <f>U157+#REF!</f>
        <v>#REF!</v>
      </c>
      <c r="U157" s="383">
        <v>55390.5</v>
      </c>
      <c r="V157" s="855">
        <f>W157+X157</f>
        <v>50000</v>
      </c>
      <c r="W157" s="456">
        <f>X157+Y157</f>
        <v>25000</v>
      </c>
      <c r="X157" s="937">
        <v>25000</v>
      </c>
      <c r="Y157" s="200"/>
      <c r="Z157" s="1077">
        <v>18884.2</v>
      </c>
      <c r="AA157" s="1078">
        <v>27333</v>
      </c>
      <c r="AB157" s="838"/>
      <c r="AC157" s="838"/>
      <c r="AD157" s="838"/>
      <c r="AE157" s="838"/>
      <c r="AF157" s="838"/>
      <c r="AG157" s="838"/>
      <c r="AH157" s="838"/>
      <c r="AI157" s="838"/>
      <c r="AJ157" s="838"/>
      <c r="AK157" s="838"/>
      <c r="AL157" s="838"/>
      <c r="AM157" s="838"/>
      <c r="AN157" s="838"/>
      <c r="AO157" s="838"/>
      <c r="AP157" s="838"/>
      <c r="AQ157" s="838"/>
      <c r="AR157" s="838"/>
      <c r="AS157" s="838"/>
      <c r="AT157" s="838"/>
    </row>
    <row r="158" spans="1:46" ht="12" customHeight="1" thickBot="1" x14ac:dyDescent="0.35">
      <c r="A158" s="865"/>
      <c r="B158" s="377" t="s">
        <v>114</v>
      </c>
      <c r="C158" s="842"/>
      <c r="D158" s="842"/>
      <c r="E158" s="842"/>
      <c r="F158" s="847"/>
      <c r="G158" s="842"/>
      <c r="H158" s="842"/>
      <c r="I158" s="847"/>
      <c r="J158" s="847"/>
      <c r="K158" s="842"/>
      <c r="L158" s="165"/>
      <c r="M158" s="198"/>
      <c r="N158" s="198"/>
      <c r="O158" s="165"/>
      <c r="P158" s="198"/>
      <c r="Q158" s="198"/>
      <c r="R158" s="240"/>
      <c r="S158" s="165"/>
      <c r="T158" s="246"/>
      <c r="U158" s="252"/>
      <c r="V158" s="884"/>
      <c r="W158" s="901"/>
      <c r="X158" s="884"/>
      <c r="Y158" s="200"/>
      <c r="Z158" s="1080"/>
      <c r="AA158" s="593"/>
      <c r="AB158" s="838"/>
      <c r="AC158" s="838"/>
      <c r="AD158" s="838"/>
      <c r="AE158" s="838"/>
      <c r="AF158" s="838"/>
      <c r="AG158" s="838"/>
      <c r="AH158" s="838"/>
      <c r="AI158" s="838"/>
      <c r="AJ158" s="838"/>
      <c r="AK158" s="838"/>
      <c r="AL158" s="838"/>
      <c r="AM158" s="838"/>
      <c r="AN158" s="838"/>
      <c r="AO158" s="838"/>
      <c r="AP158" s="838"/>
      <c r="AQ158" s="838"/>
      <c r="AR158" s="838"/>
      <c r="AS158" s="838"/>
      <c r="AT158" s="838"/>
    </row>
    <row r="159" spans="1:46" ht="15" customHeight="1" thickBot="1" x14ac:dyDescent="0.4">
      <c r="A159" s="865"/>
      <c r="B159" s="887" t="s">
        <v>277</v>
      </c>
      <c r="C159" s="885"/>
      <c r="D159" s="885"/>
      <c r="E159" s="885"/>
      <c r="F159" s="321" t="s">
        <v>304</v>
      </c>
      <c r="G159" s="321"/>
      <c r="H159" s="321"/>
      <c r="I159" s="148"/>
      <c r="K159" s="385"/>
      <c r="L159" s="386"/>
      <c r="M159" s="387"/>
      <c r="N159" s="387"/>
      <c r="O159" s="386"/>
      <c r="P159" s="387"/>
      <c r="Q159" s="387"/>
      <c r="R159" s="388"/>
      <c r="S159" s="386"/>
      <c r="T159" s="386"/>
      <c r="U159" s="387"/>
      <c r="V159" s="1291">
        <f>W159+X159</f>
        <v>260000</v>
      </c>
      <c r="W159" s="1292">
        <v>260000</v>
      </c>
      <c r="X159" s="1230">
        <v>0</v>
      </c>
      <c r="Y159" s="200"/>
      <c r="Z159" s="1075" t="s">
        <v>369</v>
      </c>
      <c r="AA159" s="593"/>
      <c r="AB159" s="838"/>
      <c r="AC159" s="838"/>
      <c r="AD159" s="838"/>
      <c r="AE159" s="838"/>
      <c r="AF159" s="838"/>
      <c r="AG159" s="838"/>
      <c r="AH159" s="838"/>
      <c r="AI159" s="838"/>
      <c r="AJ159" s="838"/>
      <c r="AK159" s="838"/>
      <c r="AL159" s="838"/>
      <c r="AM159" s="838"/>
      <c r="AN159" s="838"/>
      <c r="AO159" s="838"/>
      <c r="AP159" s="838"/>
      <c r="AQ159" s="838"/>
      <c r="AR159" s="838"/>
      <c r="AS159" s="838"/>
      <c r="AT159" s="838"/>
    </row>
    <row r="160" spans="1:46" ht="15" customHeight="1" x14ac:dyDescent="0.3">
      <c r="A160" s="865"/>
      <c r="B160" s="887" t="s">
        <v>278</v>
      </c>
      <c r="C160" s="847"/>
      <c r="D160" s="847"/>
      <c r="E160" s="847"/>
      <c r="F160" s="321"/>
      <c r="G160" s="321"/>
      <c r="H160" s="321"/>
      <c r="I160" s="321"/>
      <c r="J160" s="321"/>
      <c r="K160" s="321"/>
      <c r="L160" s="386"/>
      <c r="M160" s="387"/>
      <c r="N160" s="387"/>
      <c r="O160" s="386"/>
      <c r="P160" s="387"/>
      <c r="Q160" s="387"/>
      <c r="R160" s="388"/>
      <c r="S160" s="386"/>
      <c r="T160" s="386"/>
      <c r="U160" s="387"/>
      <c r="V160" s="854">
        <f>W160+X160</f>
        <v>0</v>
      </c>
      <c r="W160" s="416">
        <v>0</v>
      </c>
      <c r="X160" s="854">
        <v>0</v>
      </c>
      <c r="Y160" s="200"/>
      <c r="Z160" s="1075">
        <v>79</v>
      </c>
      <c r="AA160" s="1161">
        <v>8494</v>
      </c>
      <c r="AB160" s="838"/>
      <c r="AC160" s="838"/>
      <c r="AD160" s="838"/>
      <c r="AE160" s="838"/>
      <c r="AF160" s="838"/>
      <c r="AG160" s="838"/>
      <c r="AH160" s="838"/>
      <c r="AI160" s="838"/>
      <c r="AJ160" s="838"/>
      <c r="AK160" s="838"/>
      <c r="AL160" s="838"/>
      <c r="AM160" s="838"/>
      <c r="AN160" s="838"/>
      <c r="AO160" s="838"/>
      <c r="AP160" s="838"/>
      <c r="AQ160" s="838"/>
      <c r="AR160" s="838"/>
      <c r="AS160" s="838"/>
      <c r="AT160" s="838"/>
    </row>
    <row r="161" spans="1:46" ht="15" customHeight="1" x14ac:dyDescent="0.3">
      <c r="A161" s="865"/>
      <c r="B161" s="887" t="s">
        <v>279</v>
      </c>
      <c r="C161" s="847"/>
      <c r="D161" s="847"/>
      <c r="E161" s="847"/>
      <c r="F161" s="321"/>
      <c r="G161" s="321"/>
      <c r="H161" s="321"/>
      <c r="I161" s="321"/>
      <c r="J161" s="321"/>
      <c r="K161" s="321"/>
      <c r="L161" s="386"/>
      <c r="M161" s="387"/>
      <c r="N161" s="387"/>
      <c r="O161" s="386"/>
      <c r="P161" s="387"/>
      <c r="Q161" s="387"/>
      <c r="R161" s="388"/>
      <c r="S161" s="386"/>
      <c r="T161" s="386"/>
      <c r="U161" s="387"/>
      <c r="V161" s="854">
        <f>W161+X161</f>
        <v>0</v>
      </c>
      <c r="W161" s="416">
        <v>0</v>
      </c>
      <c r="X161" s="854">
        <v>0</v>
      </c>
      <c r="Y161" s="200"/>
      <c r="Z161" s="1075"/>
      <c r="AA161" s="1161">
        <v>2463.5</v>
      </c>
      <c r="AB161" s="838"/>
      <c r="AC161" s="838"/>
      <c r="AD161" s="838"/>
      <c r="AE161" s="838"/>
      <c r="AF161" s="838"/>
      <c r="AG161" s="838"/>
      <c r="AH161" s="838"/>
      <c r="AI161" s="838"/>
      <c r="AJ161" s="838"/>
      <c r="AK161" s="838"/>
      <c r="AL161" s="838"/>
      <c r="AM161" s="838"/>
      <c r="AN161" s="838"/>
      <c r="AO161" s="838"/>
      <c r="AP161" s="838"/>
      <c r="AQ161" s="838"/>
      <c r="AR161" s="838"/>
      <c r="AS161" s="838"/>
      <c r="AT161" s="838"/>
    </row>
    <row r="162" spans="1:46" ht="15" customHeight="1" x14ac:dyDescent="0.3">
      <c r="A162" s="865"/>
      <c r="B162" s="887" t="s">
        <v>280</v>
      </c>
      <c r="C162" s="847"/>
      <c r="D162" s="847"/>
      <c r="E162" s="847"/>
      <c r="F162" s="321"/>
      <c r="G162" s="321"/>
      <c r="H162" s="321"/>
      <c r="I162" s="321"/>
      <c r="J162" s="321"/>
      <c r="K162" s="321"/>
      <c r="L162" s="386"/>
      <c r="M162" s="387"/>
      <c r="N162" s="387"/>
      <c r="O162" s="386"/>
      <c r="P162" s="387"/>
      <c r="Q162" s="387"/>
      <c r="R162" s="388"/>
      <c r="S162" s="386"/>
      <c r="T162" s="386"/>
      <c r="U162" s="387"/>
      <c r="V162" s="854">
        <f>W162+X162</f>
        <v>0</v>
      </c>
      <c r="W162" s="416">
        <v>0</v>
      </c>
      <c r="X162" s="854">
        <v>0</v>
      </c>
      <c r="Y162" s="200"/>
      <c r="Z162" s="1075">
        <v>9363.1</v>
      </c>
      <c r="AA162" s="593">
        <v>2709</v>
      </c>
      <c r="AB162" s="838"/>
      <c r="AC162" s="838"/>
      <c r="AD162" s="838"/>
      <c r="AE162" s="838"/>
      <c r="AF162" s="838"/>
      <c r="AG162" s="838"/>
      <c r="AH162" s="838"/>
      <c r="AI162" s="838"/>
      <c r="AJ162" s="838"/>
      <c r="AK162" s="838"/>
      <c r="AL162" s="838"/>
      <c r="AM162" s="838"/>
      <c r="AN162" s="838"/>
      <c r="AO162" s="838"/>
      <c r="AP162" s="838"/>
      <c r="AQ162" s="838"/>
      <c r="AR162" s="838"/>
      <c r="AS162" s="838"/>
      <c r="AT162" s="838"/>
    </row>
    <row r="163" spans="1:46" ht="10.5" customHeight="1" x14ac:dyDescent="0.3">
      <c r="A163" s="865"/>
      <c r="B163" s="883" t="s">
        <v>115</v>
      </c>
      <c r="C163" s="321"/>
      <c r="D163" s="321"/>
      <c r="E163" s="321"/>
      <c r="F163" s="321"/>
      <c r="G163" s="321"/>
      <c r="H163" s="321"/>
      <c r="I163" s="842"/>
      <c r="J163" s="842"/>
      <c r="K163" s="842"/>
      <c r="L163" s="235">
        <f>M163+N163</f>
        <v>50000</v>
      </c>
      <c r="M163" s="198">
        <v>30000</v>
      </c>
      <c r="N163" s="198">
        <v>20000</v>
      </c>
      <c r="O163" s="235">
        <f>P163+Q163</f>
        <v>144189.65</v>
      </c>
      <c r="P163" s="198">
        <f>P164+P165+P166+P170</f>
        <v>67432.399999999994</v>
      </c>
      <c r="Q163" s="198">
        <f>Q164+Q165+Q166+Q170</f>
        <v>76757.25</v>
      </c>
      <c r="R163" s="291">
        <f>R164+R166+R170</f>
        <v>0.47142369057738831</v>
      </c>
      <c r="S163" s="235" t="e">
        <f>U163+#REF!</f>
        <v>#REF!</v>
      </c>
      <c r="T163" s="329" t="e">
        <f>U163+#REF!</f>
        <v>#REF!</v>
      </c>
      <c r="U163" s="383">
        <v>67500</v>
      </c>
      <c r="V163" s="1072">
        <f>V164+V165+V166+V167+V168+V169+V170</f>
        <v>210000</v>
      </c>
      <c r="W163" s="1071">
        <v>140000</v>
      </c>
      <c r="X163" s="1070">
        <f>X164+X165+X166+X168+X167+X169+X170</f>
        <v>70000</v>
      </c>
      <c r="Y163" s="200"/>
      <c r="Z163" s="1081" t="s">
        <v>337</v>
      </c>
      <c r="AA163" s="1081" t="s">
        <v>338</v>
      </c>
      <c r="AB163" s="838"/>
      <c r="AC163" s="838"/>
      <c r="AD163" s="838"/>
      <c r="AE163" s="838"/>
      <c r="AF163" s="838"/>
      <c r="AG163" s="838"/>
      <c r="AH163" s="838"/>
      <c r="AI163" s="838"/>
      <c r="AJ163" s="838"/>
      <c r="AK163" s="838"/>
      <c r="AL163" s="838"/>
      <c r="AM163" s="838"/>
      <c r="AN163" s="838"/>
      <c r="AO163" s="838"/>
      <c r="AP163" s="838"/>
      <c r="AQ163" s="838"/>
      <c r="AR163" s="838"/>
      <c r="AS163" s="838"/>
      <c r="AT163" s="838"/>
    </row>
    <row r="164" spans="1:46" ht="12" customHeight="1" x14ac:dyDescent="0.3">
      <c r="A164" s="865"/>
      <c r="B164" s="941" t="s">
        <v>116</v>
      </c>
      <c r="C164" s="321"/>
      <c r="D164" s="321"/>
      <c r="E164" s="321"/>
      <c r="F164" s="321"/>
      <c r="G164" s="321"/>
      <c r="H164" s="321"/>
      <c r="I164" s="885"/>
      <c r="J164" s="842"/>
      <c r="K164" s="842"/>
      <c r="L164" s="235">
        <f>M164+N164</f>
        <v>10000</v>
      </c>
      <c r="M164" s="198">
        <v>10000</v>
      </c>
      <c r="N164" s="198"/>
      <c r="O164" s="389">
        <f>P164+Q164</f>
        <v>12500</v>
      </c>
      <c r="P164" s="381">
        <v>9500</v>
      </c>
      <c r="Q164" s="381">
        <v>3000</v>
      </c>
      <c r="R164" s="240">
        <f>O164/10/30586</f>
        <v>4.0868371150199437E-2</v>
      </c>
      <c r="S164" s="165" t="e">
        <f>U164+#REF!</f>
        <v>#REF!</v>
      </c>
      <c r="T164" s="389" t="e">
        <f>U164+#REF!</f>
        <v>#REF!</v>
      </c>
      <c r="U164" s="381">
        <v>9500</v>
      </c>
      <c r="V164" s="1231">
        <f t="shared" ref="V164:V170" si="9">W164+X164</f>
        <v>40000</v>
      </c>
      <c r="W164" s="1221">
        <v>20000</v>
      </c>
      <c r="X164" s="1233">
        <v>20000</v>
      </c>
      <c r="Y164" s="200"/>
      <c r="Z164" s="1082">
        <v>8200</v>
      </c>
      <c r="AA164" s="1193">
        <v>46010</v>
      </c>
      <c r="AB164" s="838"/>
      <c r="AC164" s="838"/>
      <c r="AD164" s="838"/>
      <c r="AE164" s="838"/>
      <c r="AF164" s="838"/>
      <c r="AG164" s="838"/>
      <c r="AH164" s="838"/>
      <c r="AI164" s="838"/>
      <c r="AJ164" s="838"/>
      <c r="AK164" s="838"/>
      <c r="AL164" s="838"/>
      <c r="AM164" s="838"/>
      <c r="AN164" s="838"/>
      <c r="AO164" s="838"/>
      <c r="AP164" s="838"/>
      <c r="AQ164" s="838"/>
      <c r="AR164" s="838"/>
      <c r="AS164" s="838"/>
      <c r="AT164" s="838"/>
    </row>
    <row r="165" spans="1:46" ht="12" customHeight="1" x14ac:dyDescent="0.3">
      <c r="A165" s="865"/>
      <c r="B165" s="1835" t="s">
        <v>356</v>
      </c>
      <c r="C165" s="1784"/>
      <c r="D165" s="1784"/>
      <c r="E165" s="1784"/>
      <c r="F165" s="1784"/>
      <c r="G165" s="1784"/>
      <c r="H165" s="1784"/>
      <c r="I165" s="1784"/>
      <c r="J165" s="1784"/>
      <c r="K165" s="1784"/>
      <c r="L165" s="1836"/>
      <c r="M165" s="198"/>
      <c r="N165" s="198"/>
      <c r="O165" s="165"/>
      <c r="P165" s="198"/>
      <c r="Q165" s="198"/>
      <c r="R165" s="240"/>
      <c r="S165" s="165"/>
      <c r="T165" s="246"/>
      <c r="U165" s="252"/>
      <c r="V165" s="1232">
        <f t="shared" si="9"/>
        <v>130000</v>
      </c>
      <c r="W165" s="1219">
        <v>100000</v>
      </c>
      <c r="X165" s="1234">
        <v>30000</v>
      </c>
      <c r="Y165" s="200"/>
      <c r="Z165" s="1082">
        <f>279.04</f>
        <v>279.04000000000002</v>
      </c>
      <c r="AA165" s="1084">
        <v>0</v>
      </c>
      <c r="AB165" s="838"/>
      <c r="AC165" s="838"/>
      <c r="AD165" s="838"/>
      <c r="AE165" s="838"/>
      <c r="AF165" s="838"/>
      <c r="AG165" s="838"/>
      <c r="AH165" s="838"/>
      <c r="AI165" s="838"/>
      <c r="AJ165" s="838"/>
      <c r="AK165" s="838"/>
      <c r="AL165" s="838"/>
      <c r="AM165" s="838"/>
      <c r="AN165" s="838"/>
      <c r="AO165" s="838"/>
      <c r="AP165" s="838"/>
      <c r="AQ165" s="838"/>
      <c r="AR165" s="838"/>
      <c r="AS165" s="838"/>
      <c r="AT165" s="838"/>
    </row>
    <row r="166" spans="1:46" ht="12" customHeight="1" x14ac:dyDescent="0.3">
      <c r="A166" s="865"/>
      <c r="B166" s="887" t="s">
        <v>117</v>
      </c>
      <c r="C166" s="842"/>
      <c r="D166" s="842"/>
      <c r="E166" s="842"/>
      <c r="F166" s="842"/>
      <c r="G166" s="842"/>
      <c r="H166" s="847"/>
      <c r="I166" s="842"/>
      <c r="J166" s="885" t="s">
        <v>344</v>
      </c>
      <c r="K166" s="842"/>
      <c r="L166" s="235">
        <f>M166+N166</f>
        <v>30000</v>
      </c>
      <c r="M166" s="198">
        <v>15000</v>
      </c>
      <c r="N166" s="198">
        <v>15000</v>
      </c>
      <c r="O166" s="391">
        <f>P166+Q166</f>
        <v>92944.15</v>
      </c>
      <c r="P166" s="383">
        <f>4950+21000+609+8500+6342.33+7700+1274.07+1950+1515</f>
        <v>53840.4</v>
      </c>
      <c r="Q166" s="383">
        <f>3550+402+209+1563.5+10400+9900+1879.25+3150+3400+750+3900</f>
        <v>39103.75</v>
      </c>
      <c r="R166" s="240">
        <f>O166/10/30586</f>
        <v>0.30387808147518469</v>
      </c>
      <c r="S166" s="165" t="e">
        <f>U166+#REF!</f>
        <v>#REF!</v>
      </c>
      <c r="T166" s="391" t="e">
        <f>U166+#REF!</f>
        <v>#REF!</v>
      </c>
      <c r="U166" s="383">
        <v>53840.4</v>
      </c>
      <c r="V166" s="884">
        <f t="shared" si="9"/>
        <v>40000</v>
      </c>
      <c r="W166" s="901">
        <v>20000</v>
      </c>
      <c r="X166" s="206">
        <v>20000</v>
      </c>
      <c r="Y166" s="200"/>
      <c r="Z166" s="1082">
        <v>374958.17</v>
      </c>
      <c r="AA166" s="1084">
        <v>127843.31</v>
      </c>
      <c r="AB166" s="304" t="s">
        <v>372</v>
      </c>
      <c r="AC166" s="392"/>
      <c r="AD166" s="838"/>
      <c r="AE166" s="838"/>
      <c r="AF166" s="838"/>
      <c r="AG166" s="893"/>
      <c r="AH166" s="838"/>
      <c r="AI166" s="838"/>
      <c r="AJ166" s="838"/>
      <c r="AK166" s="838"/>
      <c r="AL166" s="838"/>
      <c r="AM166" s="838"/>
      <c r="AN166" s="838"/>
      <c r="AO166" s="838"/>
      <c r="AP166" s="838"/>
      <c r="AQ166" s="838"/>
      <c r="AR166" s="838"/>
      <c r="AS166" s="838"/>
      <c r="AT166" s="838"/>
    </row>
    <row r="167" spans="1:46" ht="18" customHeight="1" thickBot="1" x14ac:dyDescent="0.4">
      <c r="A167" s="397" t="s">
        <v>119</v>
      </c>
      <c r="B167" s="393" t="s">
        <v>118</v>
      </c>
      <c r="C167" s="148"/>
      <c r="D167" s="148"/>
      <c r="E167" s="148"/>
      <c r="F167" s="842"/>
      <c r="G167" s="842"/>
      <c r="H167" s="847"/>
      <c r="I167" s="842"/>
      <c r="J167" s="842"/>
      <c r="K167" s="842"/>
      <c r="L167" s="394"/>
      <c r="M167" s="236"/>
      <c r="N167" s="236"/>
      <c r="O167" s="391"/>
      <c r="P167" s="395"/>
      <c r="Q167" s="395"/>
      <c r="R167" s="240"/>
      <c r="S167" s="165"/>
      <c r="T167" s="391"/>
      <c r="U167" s="395"/>
      <c r="V167" s="884">
        <f t="shared" si="9"/>
        <v>0</v>
      </c>
      <c r="W167" s="1235">
        <v>0</v>
      </c>
      <c r="X167" s="1236">
        <v>0</v>
      </c>
      <c r="Y167" s="396"/>
      <c r="Z167" s="1082">
        <v>35344.5</v>
      </c>
      <c r="AA167" s="1084">
        <v>109302.24</v>
      </c>
      <c r="AB167" s="838"/>
      <c r="AC167" s="838"/>
      <c r="AD167" s="838"/>
      <c r="AE167" s="838"/>
      <c r="AF167" s="838"/>
      <c r="AG167" s="838"/>
      <c r="AH167" s="838"/>
      <c r="AI167" s="838"/>
      <c r="AJ167" s="838"/>
      <c r="AK167" s="838"/>
      <c r="AL167" s="838"/>
      <c r="AM167" s="838"/>
      <c r="AN167" s="838"/>
      <c r="AO167" s="838"/>
      <c r="AP167" s="838"/>
      <c r="AQ167" s="838"/>
      <c r="AR167" s="838"/>
      <c r="AS167" s="838"/>
      <c r="AT167" s="838"/>
    </row>
    <row r="168" spans="1:46" ht="12" customHeight="1" x14ac:dyDescent="0.3">
      <c r="A168" s="865"/>
      <c r="B168" s="891" t="s">
        <v>296</v>
      </c>
      <c r="C168" s="148"/>
      <c r="D168" s="148"/>
      <c r="E168" s="148"/>
      <c r="F168" s="842"/>
      <c r="G168" s="842"/>
      <c r="H168" s="847"/>
      <c r="I168" s="842"/>
      <c r="J168" s="842"/>
      <c r="K168" s="842"/>
      <c r="L168" s="394"/>
      <c r="M168" s="236"/>
      <c r="N168" s="236"/>
      <c r="O168" s="391"/>
      <c r="P168" s="395"/>
      <c r="Q168" s="395"/>
      <c r="R168" s="240"/>
      <c r="S168" s="165"/>
      <c r="T168" s="391"/>
      <c r="U168" s="395"/>
      <c r="V168" s="884">
        <f t="shared" si="9"/>
        <v>0</v>
      </c>
      <c r="W168" s="901">
        <v>0</v>
      </c>
      <c r="X168" s="907">
        <v>0</v>
      </c>
      <c r="Y168" s="396"/>
      <c r="Z168" s="304" t="s">
        <v>343</v>
      </c>
      <c r="AA168" s="392" t="s">
        <v>156</v>
      </c>
      <c r="AB168" s="838"/>
      <c r="AC168" s="838"/>
      <c r="AD168" s="838"/>
      <c r="AE168" s="838"/>
      <c r="AF168" s="838"/>
      <c r="AG168" s="838"/>
      <c r="AH168" s="838"/>
      <c r="AI168" s="838"/>
      <c r="AJ168" s="838"/>
      <c r="AK168" s="838"/>
      <c r="AL168" s="838"/>
      <c r="AM168" s="838"/>
      <c r="AN168" s="838"/>
      <c r="AO168" s="838"/>
      <c r="AP168" s="838"/>
      <c r="AQ168" s="838"/>
      <c r="AR168" s="838"/>
      <c r="AS168" s="838"/>
      <c r="AT168" s="838"/>
    </row>
    <row r="169" spans="1:46" ht="15.65" customHeight="1" x14ac:dyDescent="0.35">
      <c r="A169" s="865"/>
      <c r="B169" s="939" t="s">
        <v>423</v>
      </c>
      <c r="C169" s="885"/>
      <c r="D169" s="885"/>
      <c r="E169" s="148"/>
      <c r="F169" s="842"/>
      <c r="G169" s="842"/>
      <c r="H169" s="847"/>
      <c r="I169" s="842"/>
      <c r="J169" s="1208" t="s">
        <v>422</v>
      </c>
      <c r="K169" s="842"/>
      <c r="L169" s="394"/>
      <c r="M169" s="236"/>
      <c r="N169" s="236"/>
      <c r="O169" s="391"/>
      <c r="P169" s="395"/>
      <c r="Q169" s="395"/>
      <c r="R169" s="240"/>
      <c r="S169" s="165"/>
      <c r="T169" s="391"/>
      <c r="U169" s="395"/>
      <c r="V169" s="884">
        <f t="shared" si="9"/>
        <v>0</v>
      </c>
      <c r="W169" s="1235">
        <v>0</v>
      </c>
      <c r="X169" s="907">
        <v>0</v>
      </c>
      <c r="Y169" s="396"/>
      <c r="Z169" s="304"/>
      <c r="AA169" s="392"/>
      <c r="AB169" s="838"/>
      <c r="AC169" s="838"/>
      <c r="AD169" s="838"/>
      <c r="AE169" s="838"/>
      <c r="AF169" s="838"/>
      <c r="AG169" s="838"/>
      <c r="AH169" s="838"/>
      <c r="AI169" s="838"/>
      <c r="AJ169" s="838"/>
      <c r="AK169" s="838"/>
      <c r="AL169" s="838"/>
      <c r="AM169" s="838"/>
      <c r="AN169" s="838"/>
      <c r="AO169" s="838"/>
      <c r="AP169" s="838"/>
      <c r="AQ169" s="838"/>
      <c r="AR169" s="838"/>
      <c r="AS169" s="838"/>
      <c r="AT169" s="838"/>
    </row>
    <row r="170" spans="1:46" ht="12.75" customHeight="1" thickBot="1" x14ac:dyDescent="0.35">
      <c r="A170" s="865"/>
      <c r="B170" s="940" t="s">
        <v>282</v>
      </c>
      <c r="C170" s="892"/>
      <c r="D170" s="892"/>
      <c r="E170" s="399"/>
      <c r="F170" s="844"/>
      <c r="G170" s="938"/>
      <c r="H170" s="848"/>
      <c r="I170" s="844"/>
      <c r="J170" s="879"/>
      <c r="K170" s="400" t="s">
        <v>120</v>
      </c>
      <c r="L170" s="401" t="s">
        <v>121</v>
      </c>
      <c r="M170" s="213"/>
      <c r="N170" s="213"/>
      <c r="O170" s="391">
        <f>P170+Q170</f>
        <v>38745.5</v>
      </c>
      <c r="P170" s="349">
        <f>4092</f>
        <v>4092</v>
      </c>
      <c r="Q170" s="349">
        <f>13312.5+21341</f>
        <v>34653.5</v>
      </c>
      <c r="R170" s="240">
        <f>O170/10/30586</f>
        <v>0.1266772379520042</v>
      </c>
      <c r="S170" s="165" t="e">
        <f>U170+#REF!</f>
        <v>#REF!</v>
      </c>
      <c r="T170" s="391" t="e">
        <f>U170+#REF!</f>
        <v>#REF!</v>
      </c>
      <c r="U170" s="347">
        <v>4092</v>
      </c>
      <c r="V170" s="884">
        <f t="shared" si="9"/>
        <v>0</v>
      </c>
      <c r="W170" s="901">
        <v>0</v>
      </c>
      <c r="X170" s="905">
        <v>0</v>
      </c>
      <c r="Y170" s="215"/>
      <c r="Z170" s="242"/>
      <c r="AA170" s="838"/>
      <c r="AB170" s="838"/>
      <c r="AC170" s="838"/>
      <c r="AD170" s="838"/>
      <c r="AE170" s="838"/>
      <c r="AF170" s="838"/>
      <c r="AG170" s="838"/>
      <c r="AH170" s="838"/>
      <c r="AI170" s="838"/>
      <c r="AJ170" s="838"/>
      <c r="AK170" s="838"/>
      <c r="AL170" s="838"/>
      <c r="AM170" s="838"/>
      <c r="AN170" s="838"/>
      <c r="AO170" s="838"/>
      <c r="AP170" s="838"/>
      <c r="AQ170" s="838"/>
      <c r="AR170" s="838"/>
      <c r="AS170" s="838"/>
      <c r="AT170" s="838"/>
    </row>
    <row r="171" spans="1:46" ht="5.25" hidden="1" customHeight="1" x14ac:dyDescent="0.3">
      <c r="A171" s="838"/>
      <c r="B171" s="926"/>
      <c r="C171" s="842"/>
      <c r="D171" s="842"/>
      <c r="E171" s="842"/>
      <c r="F171" s="847"/>
      <c r="G171" s="842"/>
      <c r="H171" s="842"/>
      <c r="I171" s="847"/>
      <c r="J171" s="847"/>
      <c r="K171" s="842"/>
      <c r="L171" s="403"/>
      <c r="M171" s="257"/>
      <c r="N171" s="257"/>
      <c r="O171" s="404"/>
      <c r="P171" s="245"/>
      <c r="Q171" s="245"/>
      <c r="R171" s="405"/>
      <c r="S171" s="403"/>
      <c r="T171" s="406"/>
      <c r="U171" s="245"/>
      <c r="V171" s="403"/>
      <c r="W171" s="403"/>
      <c r="X171" s="245"/>
      <c r="Y171" s="248"/>
      <c r="Z171" s="242"/>
      <c r="AA171" s="838"/>
      <c r="AB171" s="838"/>
      <c r="AC171" s="838"/>
      <c r="AD171" s="838"/>
      <c r="AE171" s="838"/>
      <c r="AF171" s="838"/>
      <c r="AG171" s="838"/>
      <c r="AH171" s="838"/>
      <c r="AI171" s="838"/>
      <c r="AJ171" s="838"/>
      <c r="AK171" s="838"/>
      <c r="AL171" s="838"/>
      <c r="AM171" s="838"/>
      <c r="AN171" s="838"/>
      <c r="AO171" s="838"/>
      <c r="AP171" s="838"/>
      <c r="AQ171" s="838"/>
      <c r="AR171" s="838"/>
      <c r="AS171" s="838"/>
      <c r="AT171" s="838"/>
    </row>
    <row r="172" spans="1:46" ht="12" hidden="1" customHeight="1" x14ac:dyDescent="0.3">
      <c r="A172" s="838"/>
      <c r="B172" s="926"/>
      <c r="C172" s="842"/>
      <c r="D172" s="842"/>
      <c r="E172" s="842"/>
      <c r="F172" s="847"/>
      <c r="G172" s="842"/>
      <c r="H172" s="842"/>
      <c r="I172" s="847"/>
      <c r="J172" s="847"/>
      <c r="K172" s="842"/>
      <c r="L172" s="165"/>
      <c r="M172" s="198"/>
      <c r="N172" s="198"/>
      <c r="O172" s="323"/>
      <c r="P172" s="252"/>
      <c r="Q172" s="252"/>
      <c r="R172" s="240"/>
      <c r="S172" s="165"/>
      <c r="T172" s="246"/>
      <c r="U172" s="252"/>
      <c r="V172" s="165"/>
      <c r="W172" s="165"/>
      <c r="X172" s="252"/>
      <c r="Y172" s="200"/>
      <c r="Z172" s="242"/>
      <c r="AA172" s="838"/>
      <c r="AB172" s="838"/>
      <c r="AC172" s="838"/>
      <c r="AD172" s="838"/>
      <c r="AE172" s="838"/>
      <c r="AF172" s="838"/>
      <c r="AG172" s="838"/>
      <c r="AH172" s="838"/>
      <c r="AI172" s="838"/>
      <c r="AJ172" s="838"/>
      <c r="AK172" s="838"/>
      <c r="AL172" s="838"/>
      <c r="AM172" s="838"/>
      <c r="AN172" s="838"/>
      <c r="AO172" s="838"/>
      <c r="AP172" s="838"/>
      <c r="AQ172" s="838"/>
      <c r="AR172" s="838"/>
      <c r="AS172" s="838"/>
      <c r="AT172" s="838"/>
    </row>
    <row r="173" spans="1:46" ht="12" hidden="1" customHeight="1" x14ac:dyDescent="0.3">
      <c r="A173" s="838"/>
      <c r="B173" s="926"/>
      <c r="C173" s="842"/>
      <c r="D173" s="842"/>
      <c r="E173" s="842"/>
      <c r="F173" s="847"/>
      <c r="G173" s="842"/>
      <c r="H173" s="842"/>
      <c r="I173" s="847"/>
      <c r="J173" s="847"/>
      <c r="K173" s="842"/>
      <c r="L173" s="307"/>
      <c r="M173" s="236"/>
      <c r="N173" s="236"/>
      <c r="O173" s="407"/>
      <c r="P173" s="338"/>
      <c r="Q173" s="338"/>
      <c r="R173" s="408"/>
      <c r="S173" s="307"/>
      <c r="T173" s="409"/>
      <c r="U173" s="338"/>
      <c r="V173" s="307"/>
      <c r="W173" s="307"/>
      <c r="X173" s="338"/>
      <c r="Y173" s="396"/>
      <c r="Z173" s="242"/>
      <c r="AA173" s="838"/>
      <c r="AB173" s="838"/>
      <c r="AC173" s="838"/>
      <c r="AD173" s="838"/>
      <c r="AE173" s="838"/>
      <c r="AF173" s="838"/>
      <c r="AG173" s="838"/>
      <c r="AH173" s="838"/>
      <c r="AI173" s="838"/>
      <c r="AJ173" s="838"/>
      <c r="AK173" s="838"/>
      <c r="AL173" s="838"/>
      <c r="AM173" s="838"/>
      <c r="AN173" s="838"/>
      <c r="AO173" s="838"/>
      <c r="AP173" s="838"/>
      <c r="AQ173" s="838"/>
      <c r="AR173" s="838"/>
      <c r="AS173" s="838"/>
      <c r="AT173" s="838"/>
    </row>
    <row r="174" spans="1:46" ht="14" x14ac:dyDescent="0.3">
      <c r="A174" s="867"/>
      <c r="B174" s="927" t="s">
        <v>122</v>
      </c>
      <c r="C174" s="849"/>
      <c r="D174" s="849"/>
      <c r="E174" s="849"/>
      <c r="F174" s="849"/>
      <c r="G174" s="849"/>
      <c r="H174" s="849"/>
      <c r="I174" s="849"/>
      <c r="J174" s="849"/>
      <c r="K174" s="410"/>
      <c r="L174" s="411">
        <f>M174+N174</f>
        <v>4343735</v>
      </c>
      <c r="M174" s="412">
        <f>M176+M184+M188</f>
        <v>2171867.5</v>
      </c>
      <c r="N174" s="412">
        <f>N176+N184+N188</f>
        <v>2171867.5</v>
      </c>
      <c r="O174" s="411">
        <f>P174+Q174</f>
        <v>3164451.04</v>
      </c>
      <c r="P174" s="412">
        <f>P176+P184+P188</f>
        <v>1581936.7699999998</v>
      </c>
      <c r="Q174" s="412">
        <f>Q176+Q184+Q188</f>
        <v>1582514.27</v>
      </c>
      <c r="R174" s="413">
        <f>R176+R184+R188</f>
        <v>10.334836330347219</v>
      </c>
      <c r="S174" s="411">
        <f>R174/R234*100</f>
        <v>39.932126831733797</v>
      </c>
      <c r="T174" s="411" t="e">
        <f>U174+#REF!</f>
        <v>#REF!</v>
      </c>
      <c r="U174" s="412">
        <f>U176+U184+U188</f>
        <v>1898140.29</v>
      </c>
      <c r="V174" s="219">
        <f>V176+V184+V188</f>
        <v>5376522.8300000001</v>
      </c>
      <c r="W174" s="219">
        <f>W176+W184+W188</f>
        <v>2688261.415</v>
      </c>
      <c r="X174" s="219">
        <f>X176+X184+X188</f>
        <v>2688261.415</v>
      </c>
      <c r="Y174" s="414"/>
      <c r="Z174" s="382"/>
      <c r="AA174" s="838"/>
      <c r="AB174" s="838"/>
      <c r="AC174" s="838"/>
      <c r="AD174" s="838"/>
      <c r="AE174" s="838"/>
      <c r="AF174" s="838"/>
      <c r="AG174" s="838"/>
      <c r="AH174" s="838"/>
      <c r="AI174" s="838"/>
      <c r="AJ174" s="838"/>
      <c r="AK174" s="838"/>
      <c r="AL174" s="838"/>
      <c r="AM174" s="838"/>
      <c r="AN174" s="838"/>
      <c r="AO174" s="838"/>
      <c r="AP174" s="838"/>
      <c r="AQ174" s="838"/>
      <c r="AR174" s="838"/>
      <c r="AS174" s="838"/>
      <c r="AT174" s="838"/>
    </row>
    <row r="175" spans="1:46" ht="1.5" hidden="1" customHeight="1" x14ac:dyDescent="0.3">
      <c r="A175" s="865"/>
      <c r="B175" s="853"/>
      <c r="C175" s="842"/>
      <c r="D175" s="842"/>
      <c r="E175" s="842"/>
      <c r="F175" s="842"/>
      <c r="G175" s="842"/>
      <c r="H175" s="842"/>
      <c r="I175" s="842"/>
      <c r="J175" s="842"/>
      <c r="K175" s="842"/>
      <c r="L175" s="235"/>
      <c r="M175" s="233"/>
      <c r="N175" s="233"/>
      <c r="O175" s="235"/>
      <c r="P175" s="233"/>
      <c r="Q175" s="233"/>
      <c r="R175" s="297"/>
      <c r="S175" s="235"/>
      <c r="T175" s="235"/>
      <c r="U175" s="233"/>
      <c r="V175" s="233"/>
      <c r="W175" s="235"/>
      <c r="X175" s="233"/>
      <c r="Y175" s="415"/>
      <c r="Z175" s="382"/>
      <c r="AA175" s="838"/>
      <c r="AB175" s="838"/>
      <c r="AC175" s="838"/>
      <c r="AD175" s="838"/>
      <c r="AE175" s="838"/>
      <c r="AF175" s="838"/>
      <c r="AG175" s="838"/>
      <c r="AH175" s="838"/>
      <c r="AI175" s="838"/>
      <c r="AJ175" s="838"/>
      <c r="AK175" s="838"/>
      <c r="AL175" s="838"/>
      <c r="AM175" s="838"/>
      <c r="AN175" s="838"/>
      <c r="AO175" s="838"/>
      <c r="AP175" s="838"/>
      <c r="AQ175" s="838"/>
      <c r="AR175" s="838"/>
      <c r="AS175" s="838"/>
      <c r="AT175" s="838"/>
    </row>
    <row r="176" spans="1:46" ht="13" x14ac:dyDescent="0.3">
      <c r="A176" s="865"/>
      <c r="B176" s="869" t="s">
        <v>123</v>
      </c>
      <c r="C176" s="847"/>
      <c r="D176" s="847"/>
      <c r="E176" s="847"/>
      <c r="F176" s="847"/>
      <c r="G176" s="847"/>
      <c r="H176" s="847"/>
      <c r="I176" s="847"/>
      <c r="J176" s="229"/>
      <c r="K176" s="885"/>
      <c r="L176" s="1210">
        <f t="shared" ref="L176:L182" si="10">M176+N176</f>
        <v>4073735</v>
      </c>
      <c r="M176" s="1211">
        <f>M177+M178+M179+M180+M182</f>
        <v>2036867.5</v>
      </c>
      <c r="N176" s="1211">
        <f>N177+N178+N179+N180+N182</f>
        <v>2036867.5</v>
      </c>
      <c r="O176" s="1210">
        <f t="shared" ref="O176:O182" si="11">P176+Q176</f>
        <v>2746931.95</v>
      </c>
      <c r="P176" s="1211">
        <f>P177+P178+P179+P180+P182</f>
        <v>1373465.97</v>
      </c>
      <c r="Q176" s="1211">
        <f>Q177+Q178+Q179+Q180+Q182</f>
        <v>1373465.98</v>
      </c>
      <c r="R176" s="1237">
        <f>R177+R178+R179+R182</f>
        <v>8.9810107565552872</v>
      </c>
      <c r="S176" s="1210">
        <f>R176/R234*100</f>
        <v>34.701164986507564</v>
      </c>
      <c r="T176" s="1210" t="e">
        <f>U176+#REF!</f>
        <v>#REF!</v>
      </c>
      <c r="U176" s="1211">
        <f>U177+U178+U179+U180+U182</f>
        <v>1661956.79</v>
      </c>
      <c r="V176" s="854">
        <f>V177+V178+V179+V180+V182+V181</f>
        <v>4856122.83</v>
      </c>
      <c r="W176" s="416">
        <f>W177+W178+W179+W180+W181+W182</f>
        <v>2428061.415</v>
      </c>
      <c r="X176" s="854">
        <f>X177+X178+X179+X180+X182+X181</f>
        <v>2428061.415</v>
      </c>
      <c r="Y176" s="417"/>
      <c r="Z176" s="1837" t="s">
        <v>353</v>
      </c>
      <c r="AA176" s="1808"/>
      <c r="AB176" s="1808"/>
      <c r="AC176" s="1808"/>
      <c r="AD176" s="1808"/>
      <c r="AE176" s="1808"/>
      <c r="AF176" s="1808"/>
      <c r="AG176" s="1808"/>
      <c r="AH176" s="838"/>
      <c r="AI176" s="838"/>
      <c r="AJ176" s="838"/>
      <c r="AK176" s="838"/>
      <c r="AL176" s="838"/>
      <c r="AM176" s="838"/>
      <c r="AN176" s="838"/>
      <c r="AO176" s="838"/>
      <c r="AP176" s="838"/>
      <c r="AQ176" s="838"/>
      <c r="AR176" s="838"/>
      <c r="AS176" s="838"/>
      <c r="AT176" s="838"/>
    </row>
    <row r="177" spans="1:46" ht="13" x14ac:dyDescent="0.3">
      <c r="A177" s="865"/>
      <c r="B177" s="1110" t="s">
        <v>346</v>
      </c>
      <c r="C177" s="885"/>
      <c r="D177" s="885"/>
      <c r="E177" s="885"/>
      <c r="F177" s="838"/>
      <c r="G177" s="63"/>
      <c r="H177" s="885"/>
      <c r="I177" s="1238"/>
      <c r="J177" s="896"/>
      <c r="K177" s="885"/>
      <c r="L177" s="205">
        <f t="shared" si="10"/>
        <v>3704015</v>
      </c>
      <c r="M177" s="206">
        <v>1852007.5</v>
      </c>
      <c r="N177" s="206">
        <v>1852007.5</v>
      </c>
      <c r="O177" s="205">
        <f t="shared" si="11"/>
        <v>2435620.56</v>
      </c>
      <c r="P177" s="206">
        <v>1217810.28</v>
      </c>
      <c r="Q177" s="206">
        <v>1217810.28</v>
      </c>
      <c r="R177" s="427">
        <f>O177/10/30586</f>
        <v>7.9631876021709287</v>
      </c>
      <c r="S177" s="205" t="e">
        <f>U177+#REF!</f>
        <v>#REF!</v>
      </c>
      <c r="T177" s="205" t="e">
        <f>U177+#REF!</f>
        <v>#REF!</v>
      </c>
      <c r="U177" s="206">
        <v>1485561.79</v>
      </c>
      <c r="V177" s="1239">
        <f>W177+X177</f>
        <v>2992796.89</v>
      </c>
      <c r="W177" s="1036">
        <v>1496398.4450000001</v>
      </c>
      <c r="X177" s="1036">
        <v>1496398.4450000001</v>
      </c>
      <c r="Y177" s="419"/>
      <c r="Z177" s="429" t="s">
        <v>335</v>
      </c>
      <c r="AA177" s="838"/>
      <c r="AB177" s="838"/>
      <c r="AC177" s="838"/>
      <c r="AD177" s="838"/>
      <c r="AE177" s="838"/>
      <c r="AF177" s="838"/>
      <c r="AG177" s="838"/>
      <c r="AH177" s="838"/>
      <c r="AI177" s="838"/>
      <c r="AJ177" s="838"/>
      <c r="AK177" s="838"/>
      <c r="AL177" s="838"/>
      <c r="AM177" s="838"/>
      <c r="AN177" s="838"/>
      <c r="AO177" s="838"/>
      <c r="AP177" s="838"/>
      <c r="AQ177" s="838"/>
      <c r="AR177" s="838"/>
      <c r="AS177" s="838"/>
      <c r="AT177" s="838"/>
    </row>
    <row r="178" spans="1:46" x14ac:dyDescent="0.25">
      <c r="A178" s="865"/>
      <c r="B178" s="887" t="s">
        <v>124</v>
      </c>
      <c r="C178" s="885"/>
      <c r="D178" s="885"/>
      <c r="E178" s="885"/>
      <c r="F178" s="885"/>
      <c r="G178" s="885"/>
      <c r="H178" s="885"/>
      <c r="I178" s="63" t="s">
        <v>345</v>
      </c>
      <c r="J178" s="885"/>
      <c r="K178" s="885"/>
      <c r="L178" s="205">
        <f t="shared" si="10"/>
        <v>0</v>
      </c>
      <c r="M178" s="206"/>
      <c r="N178" s="206"/>
      <c r="O178" s="205">
        <f t="shared" si="11"/>
        <v>13100.67</v>
      </c>
      <c r="P178" s="206">
        <v>6550.33</v>
      </c>
      <c r="Q178" s="206">
        <v>6550.34</v>
      </c>
      <c r="R178" s="427">
        <f>O178/10/30586</f>
        <v>4.2832243510102661E-2</v>
      </c>
      <c r="S178" s="205" t="e">
        <f>U178+#REF!</f>
        <v>#REF!</v>
      </c>
      <c r="T178" s="205" t="e">
        <f>U178+#REF!</f>
        <v>#REF!</v>
      </c>
      <c r="U178" s="206">
        <v>7860</v>
      </c>
      <c r="V178" s="875">
        <f>W178+X178</f>
        <v>15000</v>
      </c>
      <c r="W178" s="901">
        <v>7500</v>
      </c>
      <c r="X178" s="875">
        <v>7500</v>
      </c>
      <c r="Y178" s="419"/>
      <c r="Z178" s="242"/>
      <c r="AA178" s="838"/>
      <c r="AB178" s="838"/>
      <c r="AC178" s="838"/>
      <c r="AD178" s="838"/>
      <c r="AE178" s="838"/>
      <c r="AF178" s="838"/>
      <c r="AG178" s="838"/>
      <c r="AH178" s="838"/>
      <c r="AI178" s="838"/>
      <c r="AJ178" s="838"/>
      <c r="AK178" s="838"/>
      <c r="AL178" s="838"/>
      <c r="AM178" s="838"/>
      <c r="AN178" s="838"/>
      <c r="AO178" s="838"/>
      <c r="AP178" s="838"/>
      <c r="AQ178" s="838"/>
      <c r="AR178" s="838"/>
      <c r="AS178" s="838"/>
      <c r="AT178" s="838"/>
    </row>
    <row r="179" spans="1:46" ht="13" x14ac:dyDescent="0.3">
      <c r="A179" s="865"/>
      <c r="B179" s="1110" t="s">
        <v>125</v>
      </c>
      <c r="C179" s="63"/>
      <c r="D179" s="63"/>
      <c r="E179" s="885"/>
      <c r="F179" s="885"/>
      <c r="G179" s="885"/>
      <c r="H179" s="885"/>
      <c r="I179" s="420"/>
      <c r="J179" s="885"/>
      <c r="K179" s="885"/>
      <c r="L179" s="205">
        <f t="shared" si="10"/>
        <v>308670</v>
      </c>
      <c r="M179" s="206">
        <v>154335</v>
      </c>
      <c r="N179" s="206">
        <v>154335</v>
      </c>
      <c r="O179" s="205">
        <f t="shared" si="11"/>
        <v>230655.91</v>
      </c>
      <c r="P179" s="206">
        <v>115327.95</v>
      </c>
      <c r="Q179" s="206">
        <v>115327.96</v>
      </c>
      <c r="R179" s="427">
        <f>O179/10/30586</f>
        <v>0.7541225070293599</v>
      </c>
      <c r="S179" s="205" t="e">
        <f>U179+#REF!</f>
        <v>#REF!</v>
      </c>
      <c r="T179" s="205" t="e">
        <f>U179+#REF!</f>
        <v>#REF!</v>
      </c>
      <c r="U179" s="206">
        <v>128000</v>
      </c>
      <c r="V179" s="1239">
        <f>W179+X179</f>
        <v>274016.12</v>
      </c>
      <c r="W179" s="436">
        <v>137008.06</v>
      </c>
      <c r="X179" s="206">
        <v>137008.06</v>
      </c>
      <c r="Y179" s="419"/>
      <c r="Z179" s="304" t="s">
        <v>427</v>
      </c>
      <c r="AA179" s="996"/>
      <c r="AB179" s="996"/>
      <c r="AC179" s="838"/>
      <c r="AD179" s="838"/>
      <c r="AE179" s="838"/>
      <c r="AF179" s="838"/>
      <c r="AG179" s="838"/>
      <c r="AH179" s="838"/>
      <c r="AI179" s="838"/>
      <c r="AJ179" s="838"/>
      <c r="AK179" s="838"/>
      <c r="AL179" s="838"/>
      <c r="AM179" s="838"/>
      <c r="AN179" s="838"/>
      <c r="AO179" s="838"/>
      <c r="AP179" s="838"/>
      <c r="AQ179" s="838"/>
      <c r="AR179" s="838"/>
      <c r="AS179" s="838"/>
      <c r="AT179" s="838"/>
    </row>
    <row r="180" spans="1:46" x14ac:dyDescent="0.25">
      <c r="A180" s="865"/>
      <c r="B180" s="887" t="s">
        <v>126</v>
      </c>
      <c r="C180" s="885"/>
      <c r="D180" s="885"/>
      <c r="E180" s="885"/>
      <c r="F180" s="885"/>
      <c r="G180" s="885"/>
      <c r="H180" s="885"/>
      <c r="I180" s="885"/>
      <c r="J180" s="885"/>
      <c r="K180" s="885"/>
      <c r="L180" s="205">
        <f t="shared" si="10"/>
        <v>34500</v>
      </c>
      <c r="M180" s="206">
        <v>17250</v>
      </c>
      <c r="N180" s="206">
        <v>17250</v>
      </c>
      <c r="O180" s="205">
        <f t="shared" si="11"/>
        <v>0</v>
      </c>
      <c r="P180" s="206"/>
      <c r="Q180" s="206"/>
      <c r="R180" s="427">
        <f>O180/10/30586</f>
        <v>0</v>
      </c>
      <c r="S180" s="205" t="e">
        <f>U180+#REF!</f>
        <v>#REF!</v>
      </c>
      <c r="T180" s="205" t="e">
        <f>U180+#REF!</f>
        <v>#REF!</v>
      </c>
      <c r="U180" s="206"/>
      <c r="V180" s="875">
        <v>0</v>
      </c>
      <c r="W180" s="901">
        <f t="shared" ref="W180" si="12">X180+Y180</f>
        <v>0</v>
      </c>
      <c r="X180" s="875">
        <v>0</v>
      </c>
      <c r="Y180" s="419"/>
      <c r="Z180" s="242"/>
      <c r="AA180" s="838"/>
      <c r="AB180" s="838"/>
      <c r="AC180" s="838"/>
      <c r="AD180" s="838"/>
      <c r="AE180" s="838"/>
      <c r="AF180" s="838"/>
      <c r="AG180" s="838"/>
      <c r="AH180" s="838"/>
      <c r="AI180" s="838"/>
      <c r="AJ180" s="838"/>
      <c r="AK180" s="838"/>
      <c r="AL180" s="838"/>
      <c r="AM180" s="838"/>
      <c r="AN180" s="838"/>
      <c r="AO180" s="838"/>
      <c r="AP180" s="838"/>
      <c r="AQ180" s="838"/>
      <c r="AR180" s="838"/>
      <c r="AS180" s="838"/>
      <c r="AT180" s="838"/>
    </row>
    <row r="181" spans="1:46" ht="15.5" x14ac:dyDescent="0.35">
      <c r="A181" s="865"/>
      <c r="B181" s="1110" t="s">
        <v>127</v>
      </c>
      <c r="C181" s="63"/>
      <c r="D181" s="63"/>
      <c r="E181" s="63"/>
      <c r="F181" s="63"/>
      <c r="G181" s="63"/>
      <c r="H181" s="63"/>
      <c r="I181" s="1247" t="s">
        <v>424</v>
      </c>
      <c r="J181" s="1248"/>
      <c r="K181" s="63"/>
      <c r="L181" s="205"/>
      <c r="M181" s="206"/>
      <c r="N181" s="206"/>
      <c r="O181" s="1240"/>
      <c r="P181" s="1212"/>
      <c r="Q181" s="1212"/>
      <c r="R181" s="1241"/>
      <c r="S181" s="1240"/>
      <c r="T181" s="1240"/>
      <c r="U181" s="1212"/>
      <c r="V181" s="1256">
        <f>W181+X181</f>
        <v>451407.29</v>
      </c>
      <c r="W181" s="1257">
        <f>451407.29/2</f>
        <v>225703.64499999999</v>
      </c>
      <c r="X181" s="1257">
        <f>451407.29/2</f>
        <v>225703.64499999999</v>
      </c>
      <c r="Y181" s="419"/>
      <c r="Z181" s="1838" t="s">
        <v>426</v>
      </c>
      <c r="AA181" s="1839"/>
      <c r="AB181" s="1839"/>
      <c r="AC181" s="1839"/>
      <c r="AD181" s="1840"/>
      <c r="AE181" s="1840"/>
      <c r="AF181" s="1840"/>
      <c r="AG181" s="1840"/>
      <c r="AH181" s="1840"/>
      <c r="AI181" s="1840"/>
      <c r="AJ181" s="1840"/>
      <c r="AK181" s="1840"/>
      <c r="AL181" s="1840"/>
      <c r="AM181" s="838"/>
      <c r="AN181" s="838"/>
      <c r="AO181" s="838"/>
      <c r="AP181" s="838"/>
      <c r="AQ181" s="838"/>
      <c r="AR181" s="838"/>
      <c r="AS181" s="838"/>
      <c r="AT181" s="838"/>
    </row>
    <row r="182" spans="1:46" ht="16" thickBot="1" x14ac:dyDescent="0.4">
      <c r="A182" s="865"/>
      <c r="B182" s="1841" t="s">
        <v>128</v>
      </c>
      <c r="C182" s="1842"/>
      <c r="D182" s="1842"/>
      <c r="E182" s="1249"/>
      <c r="F182" s="1249"/>
      <c r="G182" s="1249"/>
      <c r="H182" s="1249"/>
      <c r="I182" s="1251" t="s">
        <v>425</v>
      </c>
      <c r="J182" s="1252"/>
      <c r="K182" s="1250"/>
      <c r="L182" s="205">
        <f t="shared" si="10"/>
        <v>26550</v>
      </c>
      <c r="M182" s="206">
        <v>13275</v>
      </c>
      <c r="N182" s="206">
        <v>13275</v>
      </c>
      <c r="O182" s="1242">
        <f t="shared" si="11"/>
        <v>67554.81</v>
      </c>
      <c r="P182" s="461">
        <v>33777.410000000003</v>
      </c>
      <c r="Q182" s="461">
        <v>33777.4</v>
      </c>
      <c r="R182" s="1243">
        <f>O182/10/30586</f>
        <v>0.22086840384489634</v>
      </c>
      <c r="S182" s="1242" t="e">
        <f>U182+#REF!</f>
        <v>#REF!</v>
      </c>
      <c r="T182" s="1242" t="e">
        <f>U182+#REF!</f>
        <v>#REF!</v>
      </c>
      <c r="U182" s="461">
        <v>40535</v>
      </c>
      <c r="V182" s="1254">
        <f>W182+X182</f>
        <v>1122902.53</v>
      </c>
      <c r="W182" s="1293">
        <v>561451.26500000001</v>
      </c>
      <c r="X182" s="1293">
        <v>561451.26500000001</v>
      </c>
      <c r="Y182" s="419"/>
      <c r="Z182" s="1843" t="s">
        <v>410</v>
      </c>
      <c r="AA182" s="1784"/>
      <c r="AB182" s="1784"/>
      <c r="AC182" s="1784"/>
      <c r="AD182" s="1784"/>
      <c r="AE182" s="1784"/>
      <c r="AF182" s="1784"/>
      <c r="AG182" s="1784"/>
      <c r="AH182" s="1784"/>
      <c r="AI182" s="1784"/>
      <c r="AJ182" s="1784"/>
      <c r="AK182" s="1784"/>
      <c r="AL182" s="838"/>
      <c r="AM182" s="838"/>
      <c r="AN182" s="838"/>
      <c r="AO182" s="838"/>
      <c r="AP182" s="838"/>
      <c r="AQ182" s="838"/>
      <c r="AR182" s="838"/>
      <c r="AS182" s="838"/>
      <c r="AT182" s="838"/>
    </row>
    <row r="183" spans="1:46" ht="2.25" hidden="1" customHeight="1" x14ac:dyDescent="0.3">
      <c r="A183" s="865"/>
      <c r="B183" s="421"/>
      <c r="C183" s="290"/>
      <c r="D183" s="290"/>
      <c r="E183" s="290"/>
      <c r="F183" s="290"/>
      <c r="G183" s="290"/>
      <c r="H183" s="290"/>
      <c r="I183" s="290"/>
      <c r="J183" s="290"/>
      <c r="K183" s="290"/>
      <c r="L183" s="235"/>
      <c r="M183" s="198"/>
      <c r="N183" s="233"/>
      <c r="O183" s="422"/>
      <c r="P183" s="257"/>
      <c r="Q183" s="423"/>
      <c r="R183" s="424"/>
      <c r="S183" s="422"/>
      <c r="T183" s="422"/>
      <c r="U183" s="257"/>
      <c r="V183" s="198"/>
      <c r="W183" s="418"/>
      <c r="X183" s="198"/>
      <c r="Y183" s="415"/>
      <c r="Z183" s="382"/>
      <c r="AA183" s="838"/>
      <c r="AB183" s="838"/>
      <c r="AC183" s="838"/>
      <c r="AD183" s="838"/>
      <c r="AE183" s="838"/>
      <c r="AF183" s="838"/>
      <c r="AG183" s="838"/>
      <c r="AH183" s="838"/>
      <c r="AI183" s="838"/>
      <c r="AJ183" s="838"/>
      <c r="AK183" s="838"/>
      <c r="AL183" s="838"/>
      <c r="AM183" s="838"/>
      <c r="AN183" s="838"/>
      <c r="AO183" s="838"/>
      <c r="AP183" s="838"/>
      <c r="AQ183" s="838"/>
      <c r="AR183" s="838"/>
      <c r="AS183" s="838"/>
      <c r="AT183" s="838"/>
    </row>
    <row r="184" spans="1:46" ht="13" x14ac:dyDescent="0.3">
      <c r="A184" s="865"/>
      <c r="B184" s="869" t="s">
        <v>129</v>
      </c>
      <c r="C184" s="847"/>
      <c r="D184" s="847"/>
      <c r="E184" s="847"/>
      <c r="F184" s="847"/>
      <c r="G184" s="842"/>
      <c r="H184" s="842"/>
      <c r="I184" s="842"/>
      <c r="J184" s="842"/>
      <c r="K184" s="842"/>
      <c r="L184" s="224">
        <f>M184+N184</f>
        <v>75000</v>
      </c>
      <c r="M184" s="854">
        <f>M185+M186+M187</f>
        <v>37500</v>
      </c>
      <c r="N184" s="854">
        <f>N185+N186+N187</f>
        <v>37500</v>
      </c>
      <c r="O184" s="224">
        <f>P184+Q184</f>
        <v>76553.34</v>
      </c>
      <c r="P184" s="854">
        <f>P185+P186+P187</f>
        <v>38276.67</v>
      </c>
      <c r="Q184" s="854">
        <f>Q185+Q186+Q187</f>
        <v>38276.67</v>
      </c>
      <c r="R184" s="291">
        <f>R185+R186+R187</f>
        <v>0.25028882495259269</v>
      </c>
      <c r="S184" s="224">
        <f>R184/R234*100</f>
        <v>0.96707531528336876</v>
      </c>
      <c r="T184" s="224" t="e">
        <f>U184+#REF!</f>
        <v>#REF!</v>
      </c>
      <c r="U184" s="854">
        <f>U185+U186+U187</f>
        <v>45935</v>
      </c>
      <c r="V184" s="854">
        <f>V185+V186+V187</f>
        <v>125000</v>
      </c>
      <c r="W184" s="854">
        <f>W185+W186+W187</f>
        <v>62500</v>
      </c>
      <c r="X184" s="854">
        <f>X185+X186+X187</f>
        <v>62500</v>
      </c>
      <c r="Y184" s="426"/>
      <c r="Z184" s="1162" t="s">
        <v>337</v>
      </c>
      <c r="AA184" s="1162" t="s">
        <v>338</v>
      </c>
      <c r="AB184" s="838"/>
      <c r="AC184" s="838"/>
      <c r="AD184" s="838"/>
      <c r="AE184" s="838"/>
      <c r="AF184" s="838"/>
      <c r="AG184" s="838"/>
      <c r="AH184" s="838"/>
      <c r="AI184" s="838"/>
      <c r="AJ184" s="838"/>
      <c r="AK184" s="838"/>
      <c r="AL184" s="838"/>
      <c r="AM184" s="838"/>
      <c r="AN184" s="838"/>
      <c r="AO184" s="838"/>
      <c r="AP184" s="838"/>
      <c r="AQ184" s="838"/>
      <c r="AR184" s="838"/>
      <c r="AS184" s="838"/>
      <c r="AT184" s="838"/>
    </row>
    <row r="185" spans="1:46" ht="13" x14ac:dyDescent="0.3">
      <c r="A185" s="865"/>
      <c r="B185" s="887" t="s">
        <v>130</v>
      </c>
      <c r="C185" s="63"/>
      <c r="D185" s="63"/>
      <c r="E185" s="63"/>
      <c r="F185" s="63"/>
      <c r="G185" s="63"/>
      <c r="H185" s="63"/>
      <c r="I185" s="177"/>
      <c r="J185" s="177"/>
      <c r="K185" s="177"/>
      <c r="L185" s="205">
        <f>M185+N185</f>
        <v>40000</v>
      </c>
      <c r="M185" s="206">
        <v>20000</v>
      </c>
      <c r="N185" s="206">
        <v>20000</v>
      </c>
      <c r="O185" s="205">
        <f>P185+Q185</f>
        <v>28100</v>
      </c>
      <c r="P185" s="206">
        <f>8000+3500+50+2500</f>
        <v>14050</v>
      </c>
      <c r="Q185" s="206">
        <f>8000+3500+50+2500</f>
        <v>14050</v>
      </c>
      <c r="R185" s="427">
        <f>O185/10/30586</f>
        <v>9.1872098345648343E-2</v>
      </c>
      <c r="S185" s="205" t="e">
        <f>U185+#REF!</f>
        <v>#REF!</v>
      </c>
      <c r="T185" s="205" t="e">
        <f>U185+#REF!</f>
        <v>#REF!</v>
      </c>
      <c r="U185" s="206">
        <v>16860</v>
      </c>
      <c r="V185" s="1239">
        <f>W185+X185</f>
        <v>30000</v>
      </c>
      <c r="W185" s="436">
        <v>15000</v>
      </c>
      <c r="X185" s="206">
        <v>15000</v>
      </c>
      <c r="Y185" s="428"/>
      <c r="Z185" s="1163">
        <v>14175</v>
      </c>
      <c r="AA185" s="1163">
        <v>14175</v>
      </c>
      <c r="AB185" s="593"/>
      <c r="AC185" s="593"/>
      <c r="AD185" s="838"/>
      <c r="AE185" s="838"/>
      <c r="AF185" s="838"/>
      <c r="AG185" s="838"/>
      <c r="AH185" s="838"/>
      <c r="AI185" s="838"/>
      <c r="AJ185" s="390"/>
      <c r="AK185" s="838"/>
      <c r="AL185" s="838"/>
      <c r="AM185" s="838"/>
      <c r="AN185" s="838"/>
      <c r="AO185" s="838"/>
      <c r="AP185" s="838"/>
      <c r="AQ185" s="838"/>
      <c r="AR185" s="838"/>
      <c r="AS185" s="838"/>
      <c r="AT185" s="838"/>
    </row>
    <row r="186" spans="1:46" ht="15.5" x14ac:dyDescent="0.35">
      <c r="A186" s="865"/>
      <c r="B186" s="887" t="s">
        <v>131</v>
      </c>
      <c r="C186" s="842"/>
      <c r="D186" s="842"/>
      <c r="E186" s="842"/>
      <c r="F186" s="842"/>
      <c r="G186" s="842"/>
      <c r="H186" s="842"/>
      <c r="I186" s="845"/>
      <c r="J186" s="1253"/>
      <c r="K186" s="430" t="s">
        <v>132</v>
      </c>
      <c r="L186" s="165">
        <f>M186+N186</f>
        <v>30000</v>
      </c>
      <c r="M186" s="198">
        <v>15000</v>
      </c>
      <c r="N186" s="198">
        <v>15000</v>
      </c>
      <c r="O186" s="165">
        <f>P186+Q186</f>
        <v>41943.34</v>
      </c>
      <c r="P186" s="198">
        <f>8329.17+3325+7687.5+1630</f>
        <v>20971.67</v>
      </c>
      <c r="Q186" s="198">
        <f>8329.17+3325+7687.5+1630</f>
        <v>20971.67</v>
      </c>
      <c r="R186" s="240">
        <f>O186/10/30586</f>
        <v>0.13713247891192049</v>
      </c>
      <c r="S186" s="165" t="e">
        <f>U186+#REF!</f>
        <v>#REF!</v>
      </c>
      <c r="T186" s="165" t="e">
        <f>U186+#REF!</f>
        <v>#REF!</v>
      </c>
      <c r="U186" s="198">
        <v>25170</v>
      </c>
      <c r="V186" s="1254">
        <f>W186+X186</f>
        <v>90000</v>
      </c>
      <c r="W186" s="1235">
        <v>45000</v>
      </c>
      <c r="X186" s="1255">
        <v>45000</v>
      </c>
      <c r="Y186" s="428"/>
      <c r="Z186" s="1164">
        <v>43637.66</v>
      </c>
      <c r="AA186" s="1164">
        <v>43637.66</v>
      </c>
      <c r="AB186" s="593"/>
      <c r="AC186" s="593"/>
      <c r="AD186" s="838"/>
      <c r="AE186" s="838"/>
      <c r="AF186" s="838"/>
      <c r="AG186" s="838"/>
      <c r="AH186" s="838"/>
      <c r="AI186" s="838"/>
      <c r="AJ186" s="838"/>
      <c r="AK186" s="838"/>
      <c r="AL186" s="838"/>
      <c r="AM186" s="838"/>
      <c r="AN186" s="838"/>
      <c r="AO186" s="838"/>
      <c r="AP186" s="838"/>
      <c r="AQ186" s="838"/>
      <c r="AR186" s="838"/>
      <c r="AS186" s="838"/>
      <c r="AT186" s="838"/>
    </row>
    <row r="187" spans="1:46" ht="13.5" thickBot="1" x14ac:dyDescent="0.35">
      <c r="A187" s="865"/>
      <c r="B187" s="862" t="s">
        <v>133</v>
      </c>
      <c r="C187" s="283"/>
      <c r="D187" s="283"/>
      <c r="E187" s="283"/>
      <c r="F187" s="283"/>
      <c r="G187" s="283"/>
      <c r="H187" s="283"/>
      <c r="I187" s="283"/>
      <c r="J187" s="283"/>
      <c r="K187" s="283"/>
      <c r="L187" s="165">
        <f>M187+N187</f>
        <v>5000</v>
      </c>
      <c r="M187" s="198">
        <v>2500</v>
      </c>
      <c r="N187" s="198">
        <v>2500</v>
      </c>
      <c r="O187" s="212">
        <f>P187+Q187</f>
        <v>6510</v>
      </c>
      <c r="P187" s="213">
        <f>1080+2175</f>
        <v>3255</v>
      </c>
      <c r="Q187" s="213">
        <f>1080+2175</f>
        <v>3255</v>
      </c>
      <c r="R187" s="431">
        <f>O187/10/30586</f>
        <v>2.1284247695023868E-2</v>
      </c>
      <c r="S187" s="212" t="e">
        <f>U187+#REF!</f>
        <v>#REF!</v>
      </c>
      <c r="T187" s="212" t="e">
        <f>U187+#REF!</f>
        <v>#REF!</v>
      </c>
      <c r="U187" s="213">
        <v>3905</v>
      </c>
      <c r="V187" s="231">
        <f>W187+X187</f>
        <v>5000</v>
      </c>
      <c r="W187" s="901">
        <f>X187+Y187</f>
        <v>2500</v>
      </c>
      <c r="X187" s="875">
        <v>2500</v>
      </c>
      <c r="Y187" s="432"/>
      <c r="Z187" s="1165">
        <v>2175</v>
      </c>
      <c r="AA187" s="1165">
        <v>2175</v>
      </c>
      <c r="AB187" s="838"/>
      <c r="AC187" s="838"/>
      <c r="AD187" s="877"/>
      <c r="AE187" s="838"/>
      <c r="AF187" s="838"/>
      <c r="AG187" s="838"/>
      <c r="AH187" s="838"/>
      <c r="AI187" s="838"/>
      <c r="AJ187" s="838"/>
      <c r="AK187" s="838"/>
      <c r="AL187" s="838"/>
      <c r="AM187" s="838"/>
      <c r="AN187" s="838"/>
      <c r="AO187" s="838"/>
      <c r="AP187" s="838"/>
      <c r="AQ187" s="838"/>
      <c r="AR187" s="838"/>
      <c r="AS187" s="838"/>
      <c r="AT187" s="838"/>
    </row>
    <row r="188" spans="1:46" ht="23.15" customHeight="1" x14ac:dyDescent="0.3">
      <c r="A188" s="865"/>
      <c r="B188" s="869" t="s">
        <v>134</v>
      </c>
      <c r="C188" s="847"/>
      <c r="D188" s="847"/>
      <c r="E188" s="847"/>
      <c r="F188" s="847"/>
      <c r="G188" s="847"/>
      <c r="H188" s="847"/>
      <c r="I188" s="842"/>
      <c r="J188" s="842"/>
      <c r="K188" s="842"/>
      <c r="L188" s="224">
        <f>M188+N188</f>
        <v>195000</v>
      </c>
      <c r="M188" s="854">
        <f>M190+M191+M194+M192+M195+M196+M197</f>
        <v>97500</v>
      </c>
      <c r="N188" s="854">
        <f>N190+N191+N194+N192+N195+N196+N197</f>
        <v>97500</v>
      </c>
      <c r="O188" s="434">
        <f>P188+Q188</f>
        <v>340965.75</v>
      </c>
      <c r="P188" s="846">
        <f>P190+P191+P192+P194+P195+P196+P197</f>
        <v>170194.12999999998</v>
      </c>
      <c r="Q188" s="846">
        <f>Q190+Q191+Q192+Q194+Q195+Q196+Q197</f>
        <v>170771.62</v>
      </c>
      <c r="R188" s="433">
        <f>R190+R191+R192+R194+R195+R196</f>
        <v>1.1035367488393382</v>
      </c>
      <c r="S188" s="434">
        <f>R188/R234*100</f>
        <v>4.2638865299428614</v>
      </c>
      <c r="T188" s="434" t="e">
        <f>U188+#REF!</f>
        <v>#REF!</v>
      </c>
      <c r="U188" s="846">
        <f>U190+U191+U192+U194+U195+U196+U197</f>
        <v>190248.5</v>
      </c>
      <c r="V188" s="854">
        <f>V190+V191+V192+V194+V195+V196+V197+V193</f>
        <v>395400</v>
      </c>
      <c r="W188" s="854">
        <f>W190+W191+W192+W194+W195+W196+W197+W193</f>
        <v>197700</v>
      </c>
      <c r="X188" s="854">
        <f>X190+X191+X192+X194+X195+X196+X197+X193</f>
        <v>197700</v>
      </c>
      <c r="Y188" s="426"/>
      <c r="Z188" s="1125" t="s">
        <v>369</v>
      </c>
      <c r="AA188" s="1126"/>
      <c r="AB188" s="838"/>
      <c r="AC188" s="435"/>
      <c r="AD188" s="838"/>
      <c r="AE188" s="838"/>
      <c r="AF188" s="838"/>
      <c r="AG188" s="838"/>
      <c r="AH188" s="838"/>
      <c r="AI188" s="838"/>
      <c r="AJ188" s="838"/>
      <c r="AK188" s="838"/>
      <c r="AL188" s="838"/>
      <c r="AM188" s="838"/>
      <c r="AN188" s="838"/>
      <c r="AO188" s="838"/>
      <c r="AP188" s="838"/>
      <c r="AQ188" s="838"/>
      <c r="AR188" s="838"/>
      <c r="AS188" s="838"/>
      <c r="AT188" s="838"/>
    </row>
    <row r="189" spans="1:46" ht="12.65" customHeight="1" x14ac:dyDescent="0.3">
      <c r="A189" s="865"/>
      <c r="B189" s="853" t="s">
        <v>135</v>
      </c>
      <c r="C189" s="842"/>
      <c r="D189" s="842"/>
      <c r="E189" s="842"/>
      <c r="F189" s="842"/>
      <c r="G189" s="842"/>
      <c r="H189" s="842"/>
      <c r="I189" s="842"/>
      <c r="J189" s="842"/>
      <c r="K189" s="842"/>
      <c r="L189" s="165"/>
      <c r="M189" s="198"/>
      <c r="N189" s="198"/>
      <c r="O189" s="165"/>
      <c r="P189" s="198"/>
      <c r="Q189" s="198"/>
      <c r="R189" s="240"/>
      <c r="S189" s="165"/>
      <c r="T189" s="165"/>
      <c r="U189" s="198"/>
      <c r="V189" s="206"/>
      <c r="W189" s="436"/>
      <c r="X189" s="206"/>
      <c r="Y189" s="428"/>
      <c r="Z189" s="1127" t="s">
        <v>337</v>
      </c>
      <c r="AA189" s="1127" t="s">
        <v>338</v>
      </c>
      <c r="AB189" s="1086"/>
      <c r="AC189" s="1086"/>
      <c r="AD189" s="1086"/>
      <c r="AE189" s="1086"/>
      <c r="AF189" s="1086"/>
      <c r="AG189" s="1086"/>
      <c r="AH189" s="1086"/>
      <c r="AI189" s="1086"/>
      <c r="AJ189" s="1086"/>
      <c r="AK189" s="1086"/>
      <c r="AL189" s="1086"/>
      <c r="AM189" s="1086"/>
      <c r="AN189" s="1086"/>
      <c r="AO189" s="1086"/>
      <c r="AP189" s="1086"/>
      <c r="AQ189" s="1086"/>
      <c r="AR189" s="1086"/>
      <c r="AS189" s="1086"/>
      <c r="AT189" s="1086"/>
    </row>
    <row r="190" spans="1:46" ht="13" x14ac:dyDescent="0.3">
      <c r="A190" s="865"/>
      <c r="B190" s="853" t="s">
        <v>136</v>
      </c>
      <c r="C190" s="842"/>
      <c r="D190" s="842"/>
      <c r="E190" s="842"/>
      <c r="F190" s="842"/>
      <c r="G190" s="173"/>
      <c r="H190" s="437"/>
      <c r="I190" s="845"/>
      <c r="J190" s="845"/>
      <c r="K190" s="845"/>
      <c r="L190" s="165">
        <f t="shared" ref="L190:L197" si="13">M190+N190</f>
        <v>80000</v>
      </c>
      <c r="M190" s="198">
        <v>40000</v>
      </c>
      <c r="N190" s="198">
        <v>40000</v>
      </c>
      <c r="O190" s="165">
        <f t="shared" ref="O190:O197" si="14">P190+Q190</f>
        <v>80112.22</v>
      </c>
      <c r="P190" s="198">
        <f>9250+19635.7+898.45+3780+6491.96</f>
        <v>40056.11</v>
      </c>
      <c r="Q190" s="198">
        <f>9250+19635.7+898.45+3780+6491.96</f>
        <v>40056.11</v>
      </c>
      <c r="R190" s="240">
        <f t="shared" ref="R190:R197" si="15">O190/10/30586</f>
        <v>0.26192447525011442</v>
      </c>
      <c r="S190" s="165" t="e">
        <f>U190+#REF!</f>
        <v>#REF!</v>
      </c>
      <c r="T190" s="165" t="e">
        <f>U190+#REF!</f>
        <v>#REF!</v>
      </c>
      <c r="U190" s="198">
        <v>48070</v>
      </c>
      <c r="V190" s="231">
        <f t="shared" ref="V190:V197" si="16">W190+X190</f>
        <v>93900</v>
      </c>
      <c r="W190" s="438">
        <f>X190</f>
        <v>46950</v>
      </c>
      <c r="X190" s="1244">
        <v>46950</v>
      </c>
      <c r="Y190" s="428"/>
      <c r="Z190" s="1087">
        <v>52801.51</v>
      </c>
      <c r="AA190" s="1087">
        <v>52801.51</v>
      </c>
      <c r="AB190" s="1086"/>
      <c r="AC190" s="1086"/>
      <c r="AD190" s="1086"/>
      <c r="AE190" s="1086"/>
      <c r="AF190" s="1086"/>
      <c r="AG190" s="1086"/>
      <c r="AH190" s="1086"/>
      <c r="AI190" s="1086"/>
      <c r="AJ190" s="1086"/>
      <c r="AK190" s="1086"/>
      <c r="AL190" s="1086"/>
      <c r="AM190" s="1086"/>
      <c r="AN190" s="1086"/>
      <c r="AO190" s="1086"/>
      <c r="AP190" s="1086"/>
      <c r="AQ190" s="1086"/>
      <c r="AR190" s="1086"/>
      <c r="AS190" s="1086"/>
      <c r="AT190" s="1086"/>
    </row>
    <row r="191" spans="1:46" ht="15.75" customHeight="1" x14ac:dyDescent="0.35">
      <c r="A191" s="865"/>
      <c r="B191" s="1110" t="s">
        <v>137</v>
      </c>
      <c r="C191" s="63"/>
      <c r="D191" s="63"/>
      <c r="E191" s="63"/>
      <c r="F191" s="842"/>
      <c r="G191" s="439"/>
      <c r="H191" s="1830" t="s">
        <v>428</v>
      </c>
      <c r="I191" s="1784"/>
      <c r="J191" s="1784"/>
      <c r="K191" s="440"/>
      <c r="L191" s="165">
        <f t="shared" si="13"/>
        <v>20000</v>
      </c>
      <c r="M191" s="198">
        <v>10000</v>
      </c>
      <c r="N191" s="198">
        <v>10000</v>
      </c>
      <c r="O191" s="165">
        <f t="shared" si="14"/>
        <v>84807</v>
      </c>
      <c r="P191" s="198">
        <f>20585+21818.5</f>
        <v>42403.5</v>
      </c>
      <c r="Q191" s="198">
        <f>20585+21818.5</f>
        <v>42403.5</v>
      </c>
      <c r="R191" s="240">
        <f t="shared" si="15"/>
        <v>0.27727391617079711</v>
      </c>
      <c r="S191" s="165" t="e">
        <f>U191+#REF!</f>
        <v>#REF!</v>
      </c>
      <c r="T191" s="165" t="e">
        <f>U191+#REF!</f>
        <v>#REF!</v>
      </c>
      <c r="U191" s="198">
        <v>45403.5</v>
      </c>
      <c r="V191" s="1258">
        <f t="shared" si="16"/>
        <v>113500</v>
      </c>
      <c r="W191" s="1259">
        <v>56750</v>
      </c>
      <c r="X191" s="1258">
        <v>56750</v>
      </c>
      <c r="Y191" s="428"/>
      <c r="Z191" s="1121">
        <v>70623</v>
      </c>
      <c r="AA191" s="1121">
        <v>70623</v>
      </c>
      <c r="AB191" s="1124" t="s">
        <v>354</v>
      </c>
      <c r="AC191" s="1085"/>
      <c r="AD191" s="1085"/>
      <c r="AE191" s="1085"/>
      <c r="AF191" s="1085"/>
      <c r="AG191" s="1085"/>
      <c r="AH191" s="1085"/>
      <c r="AI191" s="1085"/>
      <c r="AJ191" s="1085"/>
      <c r="AK191" s="1085"/>
      <c r="AL191" s="1085"/>
      <c r="AM191" s="1085"/>
      <c r="AN191" s="1085"/>
      <c r="AO191" s="1085"/>
      <c r="AP191" s="1086"/>
      <c r="AQ191" s="1086"/>
      <c r="AR191" s="1086"/>
      <c r="AS191" s="1086"/>
      <c r="AT191" s="1086"/>
    </row>
    <row r="192" spans="1:46" ht="12.65" customHeight="1" x14ac:dyDescent="0.3">
      <c r="A192" s="865"/>
      <c r="B192" s="887" t="s">
        <v>297</v>
      </c>
      <c r="C192" s="842"/>
      <c r="D192" s="842"/>
      <c r="E192" s="842"/>
      <c r="F192" s="842"/>
      <c r="G192" s="842"/>
      <c r="H192" s="842"/>
      <c r="I192" s="842"/>
      <c r="J192" s="842"/>
      <c r="K192" s="842"/>
      <c r="L192" s="165">
        <f t="shared" si="13"/>
        <v>17000</v>
      </c>
      <c r="M192" s="198">
        <v>8500</v>
      </c>
      <c r="N192" s="198">
        <v>8500</v>
      </c>
      <c r="O192" s="162">
        <f t="shared" si="14"/>
        <v>91679</v>
      </c>
      <c r="P192" s="1245">
        <f>100+675+1050+350+14250+22736+6678.5</f>
        <v>45839.5</v>
      </c>
      <c r="Q192" s="1245">
        <f>100+675+1050+350+14250+22736+6678.5</f>
        <v>45839.5</v>
      </c>
      <c r="R192" s="240">
        <f t="shared" si="15"/>
        <v>0.29974171189433074</v>
      </c>
      <c r="S192" s="165" t="e">
        <f>U192+#REF!</f>
        <v>#REF!</v>
      </c>
      <c r="T192" s="162" t="e">
        <f>U192+#REF!</f>
        <v>#REF!</v>
      </c>
      <c r="U192" s="1245">
        <v>46500</v>
      </c>
      <c r="V192" s="231">
        <f t="shared" si="16"/>
        <v>46000</v>
      </c>
      <c r="W192" s="1263">
        <v>23000</v>
      </c>
      <c r="X192" s="1264">
        <v>23000</v>
      </c>
      <c r="Y192" s="428"/>
      <c r="Z192" s="1122">
        <v>22414.95</v>
      </c>
      <c r="AA192" s="1122">
        <v>22414.95</v>
      </c>
      <c r="AB192" s="1156" t="s">
        <v>367</v>
      </c>
      <c r="AC192" s="1086"/>
      <c r="AD192" s="1086"/>
      <c r="AE192" s="1086"/>
      <c r="AF192" s="1086"/>
      <c r="AG192" s="1086"/>
      <c r="AH192" s="1086"/>
      <c r="AI192" s="1086"/>
      <c r="AJ192" s="1086"/>
      <c r="AK192" s="1086"/>
      <c r="AL192" s="1086"/>
      <c r="AM192" s="1086"/>
      <c r="AN192" s="1086"/>
      <c r="AO192" s="1086"/>
      <c r="AP192" s="1086"/>
      <c r="AQ192" s="1086"/>
      <c r="AR192" s="1086"/>
      <c r="AS192" s="1086"/>
      <c r="AT192" s="1086"/>
    </row>
    <row r="193" spans="1:49" ht="19" customHeight="1" x14ac:dyDescent="0.35">
      <c r="A193" s="865"/>
      <c r="B193" s="1110" t="s">
        <v>411</v>
      </c>
      <c r="C193" s="63"/>
      <c r="D193" s="63"/>
      <c r="E193" s="63"/>
      <c r="F193" s="63"/>
      <c r="G193" s="63"/>
      <c r="H193" s="842"/>
      <c r="I193" s="842"/>
      <c r="J193" s="842"/>
      <c r="K193" s="842"/>
      <c r="L193" s="165"/>
      <c r="M193" s="198"/>
      <c r="N193" s="198"/>
      <c r="O193" s="162"/>
      <c r="P193" s="1246"/>
      <c r="Q193" s="1246"/>
      <c r="R193" s="240"/>
      <c r="S193" s="165"/>
      <c r="T193" s="162"/>
      <c r="U193" s="1246"/>
      <c r="V193" s="1260">
        <f t="shared" si="16"/>
        <v>38000</v>
      </c>
      <c r="W193" s="1261">
        <v>19000</v>
      </c>
      <c r="X193" s="1262">
        <v>19000</v>
      </c>
      <c r="Y193" s="443"/>
      <c r="Z193" s="1071"/>
      <c r="AA193" s="1071"/>
      <c r="AB193" s="1185" t="s">
        <v>368</v>
      </c>
      <c r="AC193" s="1186"/>
      <c r="AD193" s="1186"/>
      <c r="AE193" s="1186"/>
      <c r="AF193" s="1186"/>
      <c r="AG193" s="1186"/>
      <c r="AH193" s="1186"/>
      <c r="AI193" s="1186"/>
      <c r="AJ193" s="1186"/>
      <c r="AK193" s="1186"/>
      <c r="AL193" s="1186"/>
      <c r="AM193" s="1186"/>
      <c r="AN193" s="1186"/>
      <c r="AO193" s="1186"/>
      <c r="AP193" s="1186"/>
      <c r="AQ193" s="1186"/>
      <c r="AR193" s="1186"/>
      <c r="AS193" s="1186"/>
      <c r="AT193" s="1186"/>
      <c r="AU193" s="1186"/>
      <c r="AV193" s="1186"/>
      <c r="AW193" s="1186"/>
    </row>
    <row r="194" spans="1:49" ht="12.65" customHeight="1" x14ac:dyDescent="0.3">
      <c r="A194" s="865"/>
      <c r="B194" s="887" t="s">
        <v>412</v>
      </c>
      <c r="C194" s="842"/>
      <c r="D194" s="842"/>
      <c r="E194" s="842"/>
      <c r="F194" s="842"/>
      <c r="G194" s="842"/>
      <c r="H194" s="842"/>
      <c r="I194" s="842"/>
      <c r="J194" s="842"/>
      <c r="K194" s="842"/>
      <c r="L194" s="165">
        <f t="shared" si="13"/>
        <v>30000</v>
      </c>
      <c r="M194" s="198">
        <v>15000</v>
      </c>
      <c r="N194" s="198">
        <v>15000</v>
      </c>
      <c r="O194" s="165">
        <f t="shared" si="14"/>
        <v>43099.28</v>
      </c>
      <c r="P194" s="257">
        <f>9047.5+12502.14</f>
        <v>21549.64</v>
      </c>
      <c r="Q194" s="257">
        <f>9047.5+12502.14</f>
        <v>21549.64</v>
      </c>
      <c r="R194" s="240">
        <f t="shared" si="15"/>
        <v>0.1409117897077094</v>
      </c>
      <c r="S194" s="165" t="e">
        <f>U194+#REF!</f>
        <v>#REF!</v>
      </c>
      <c r="T194" s="165" t="e">
        <f>U194+#REF!</f>
        <v>#REF!</v>
      </c>
      <c r="U194" s="257">
        <v>25860</v>
      </c>
      <c r="V194" s="231">
        <f t="shared" si="16"/>
        <v>29000</v>
      </c>
      <c r="W194" s="901">
        <v>14500</v>
      </c>
      <c r="X194" s="286">
        <v>14500</v>
      </c>
      <c r="Y194" s="443"/>
      <c r="Z194" s="1071">
        <v>13254.02</v>
      </c>
      <c r="AA194" s="1071">
        <v>13254.02</v>
      </c>
      <c r="AB194" s="1187"/>
      <c r="AC194" s="1186"/>
      <c r="AD194" s="1186"/>
      <c r="AE194" s="1186"/>
      <c r="AF194" s="1186"/>
      <c r="AG194" s="1186"/>
      <c r="AH194" s="1186"/>
      <c r="AI194" s="1186"/>
      <c r="AJ194" s="1186"/>
      <c r="AK194" s="1186"/>
      <c r="AL194" s="1186"/>
      <c r="AM194" s="1186"/>
      <c r="AN194" s="1186"/>
      <c r="AO194" s="1186"/>
      <c r="AP194" s="1186"/>
      <c r="AQ194" s="1186"/>
      <c r="AR194" s="1186"/>
      <c r="AS194" s="1186"/>
      <c r="AT194" s="1186"/>
      <c r="AU194" s="1186"/>
      <c r="AV194" s="1186"/>
      <c r="AW194" s="1186"/>
    </row>
    <row r="195" spans="1:49" ht="12.65" customHeight="1" x14ac:dyDescent="0.3">
      <c r="A195" s="865"/>
      <c r="B195" s="887" t="s">
        <v>413</v>
      </c>
      <c r="C195" s="842"/>
      <c r="D195" s="842"/>
      <c r="E195" s="842"/>
      <c r="F195" s="842"/>
      <c r="G195" s="842"/>
      <c r="H195" s="842"/>
      <c r="I195" s="842"/>
      <c r="J195" s="842"/>
      <c r="K195" s="842"/>
      <c r="L195" s="165">
        <f t="shared" si="13"/>
        <v>8000</v>
      </c>
      <c r="M195" s="198">
        <v>4000</v>
      </c>
      <c r="N195" s="198">
        <v>4000</v>
      </c>
      <c r="O195" s="165">
        <f t="shared" si="14"/>
        <v>8173.6</v>
      </c>
      <c r="P195" s="198">
        <f>4086.8</f>
        <v>4086.8</v>
      </c>
      <c r="Q195" s="198">
        <v>4086.8</v>
      </c>
      <c r="R195" s="240">
        <f t="shared" si="15"/>
        <v>2.6723337474661612E-2</v>
      </c>
      <c r="S195" s="165" t="e">
        <f>U195+#REF!</f>
        <v>#REF!</v>
      </c>
      <c r="T195" s="165" t="e">
        <f>U195+#REF!</f>
        <v>#REF!</v>
      </c>
      <c r="U195" s="198">
        <v>4905</v>
      </c>
      <c r="V195" s="231">
        <f t="shared" si="16"/>
        <v>16000</v>
      </c>
      <c r="W195" s="901">
        <v>8000</v>
      </c>
      <c r="X195" s="875">
        <v>8000</v>
      </c>
      <c r="Y195" s="428"/>
      <c r="Z195" s="1071">
        <v>6881.13</v>
      </c>
      <c r="AA195" s="1071">
        <v>6881.13</v>
      </c>
      <c r="AB195" s="1086"/>
      <c r="AC195" s="1086"/>
      <c r="AD195" s="1086"/>
      <c r="AE195" s="1086"/>
      <c r="AF195" s="1086"/>
      <c r="AG195" s="1086"/>
      <c r="AH195" s="1086"/>
      <c r="AI195" s="1086"/>
      <c r="AJ195" s="1086"/>
      <c r="AK195" s="1086"/>
      <c r="AL195" s="1086"/>
      <c r="AM195" s="1086"/>
      <c r="AN195" s="1086"/>
      <c r="AO195" s="1086"/>
      <c r="AP195" s="1086"/>
      <c r="AQ195" s="1086"/>
      <c r="AR195" s="1086"/>
      <c r="AS195" s="1086"/>
      <c r="AT195" s="1086"/>
    </row>
    <row r="196" spans="1:49" ht="12.65" customHeight="1" x14ac:dyDescent="0.3">
      <c r="A196" s="865"/>
      <c r="B196" s="887" t="s">
        <v>414</v>
      </c>
      <c r="C196" s="842"/>
      <c r="D196" s="842"/>
      <c r="E196" s="842"/>
      <c r="F196" s="842"/>
      <c r="G196" s="842"/>
      <c r="H196" s="842"/>
      <c r="I196" s="842"/>
      <c r="J196" s="842"/>
      <c r="K196" s="842"/>
      <c r="L196" s="165">
        <f t="shared" si="13"/>
        <v>40000</v>
      </c>
      <c r="M196" s="198">
        <v>20000</v>
      </c>
      <c r="N196" s="198">
        <v>20000</v>
      </c>
      <c r="O196" s="165">
        <f t="shared" si="14"/>
        <v>29656.65</v>
      </c>
      <c r="P196" s="198">
        <v>14828.33</v>
      </c>
      <c r="Q196" s="198">
        <v>14828.32</v>
      </c>
      <c r="R196" s="240">
        <f t="shared" si="15"/>
        <v>9.6961518341724964E-2</v>
      </c>
      <c r="S196" s="165" t="e">
        <f>U196+#REF!</f>
        <v>#REF!</v>
      </c>
      <c r="T196" s="165" t="e">
        <f>U196+#REF!</f>
        <v>#REF!</v>
      </c>
      <c r="U196" s="198">
        <v>17795</v>
      </c>
      <c r="V196" s="231">
        <f t="shared" si="16"/>
        <v>45000</v>
      </c>
      <c r="W196" s="901">
        <v>22500</v>
      </c>
      <c r="X196" s="875">
        <v>22500</v>
      </c>
      <c r="Y196" s="428"/>
      <c r="Z196" s="1071">
        <v>22550.21</v>
      </c>
      <c r="AA196" s="1071">
        <v>22550.21</v>
      </c>
      <c r="AB196" s="1086"/>
      <c r="AC196" s="1086"/>
      <c r="AD196" s="1086"/>
      <c r="AE196" s="1086"/>
      <c r="AF196" s="1086"/>
      <c r="AG196" s="1086"/>
      <c r="AH196" s="1086"/>
      <c r="AI196" s="1086"/>
      <c r="AJ196" s="1086"/>
      <c r="AK196" s="1086"/>
      <c r="AL196" s="1086"/>
      <c r="AM196" s="1086"/>
      <c r="AN196" s="1086"/>
      <c r="AO196" s="1086"/>
      <c r="AP196" s="1086"/>
      <c r="AQ196" s="1086"/>
      <c r="AR196" s="1086"/>
      <c r="AS196" s="1086"/>
      <c r="AT196" s="1086"/>
    </row>
    <row r="197" spans="1:49" ht="13" customHeight="1" thickBot="1" x14ac:dyDescent="0.35">
      <c r="A197" s="444"/>
      <c r="B197" s="67" t="s">
        <v>415</v>
      </c>
      <c r="C197" s="844"/>
      <c r="D197" s="844"/>
      <c r="E197" s="844"/>
      <c r="F197" s="844"/>
      <c r="G197" s="844"/>
      <c r="H197" s="844"/>
      <c r="I197" s="844"/>
      <c r="J197" s="1265" t="s">
        <v>429</v>
      </c>
      <c r="K197" s="844"/>
      <c r="L197" s="212">
        <f t="shared" si="13"/>
        <v>0</v>
      </c>
      <c r="M197" s="213">
        <v>0</v>
      </c>
      <c r="N197" s="213"/>
      <c r="O197" s="212">
        <f t="shared" si="14"/>
        <v>3438</v>
      </c>
      <c r="P197" s="213">
        <f>960.5+469.75</f>
        <v>1430.25</v>
      </c>
      <c r="Q197" s="213">
        <f>577.5+960.5+469.75</f>
        <v>2007.75</v>
      </c>
      <c r="R197" s="240">
        <f t="shared" si="15"/>
        <v>1.1240436801150853E-2</v>
      </c>
      <c r="S197" s="212" t="e">
        <f>U197+#REF!</f>
        <v>#REF!</v>
      </c>
      <c r="T197" s="212" t="e">
        <f>U197+#REF!</f>
        <v>#REF!</v>
      </c>
      <c r="U197" s="213">
        <v>1715</v>
      </c>
      <c r="V197" s="231">
        <f t="shared" si="16"/>
        <v>14000</v>
      </c>
      <c r="W197" s="904">
        <v>7000</v>
      </c>
      <c r="X197" s="908">
        <v>7000</v>
      </c>
      <c r="Y197" s="445"/>
      <c r="Z197" s="1123">
        <v>6386</v>
      </c>
      <c r="AA197" s="1123">
        <v>6386</v>
      </c>
      <c r="AB197" s="1086"/>
      <c r="AC197" s="1086"/>
      <c r="AD197" s="1086"/>
      <c r="AE197" s="1086"/>
      <c r="AF197" s="1086"/>
      <c r="AG197" s="1086"/>
      <c r="AH197" s="1086"/>
      <c r="AI197" s="1086"/>
      <c r="AJ197" s="1086"/>
      <c r="AK197" s="1086"/>
      <c r="AL197" s="1086"/>
      <c r="AM197" s="1086"/>
      <c r="AN197" s="1086"/>
      <c r="AO197" s="1086"/>
      <c r="AP197" s="1086"/>
      <c r="AQ197" s="1086"/>
      <c r="AR197" s="1086"/>
      <c r="AS197" s="1086"/>
      <c r="AT197" s="1086"/>
    </row>
    <row r="198" spans="1:49" ht="1.5" hidden="1" customHeight="1" x14ac:dyDescent="0.3">
      <c r="A198" s="838"/>
      <c r="B198" s="853"/>
      <c r="C198" s="842"/>
      <c r="D198" s="842"/>
      <c r="E198" s="842"/>
      <c r="F198" s="842"/>
      <c r="G198" s="842"/>
      <c r="H198" s="842"/>
      <c r="I198" s="842"/>
      <c r="J198" s="842"/>
      <c r="K198" s="842"/>
      <c r="L198" s="403"/>
      <c r="M198" s="270"/>
      <c r="N198" s="270"/>
      <c r="O198" s="403"/>
      <c r="P198" s="270"/>
      <c r="Q198" s="270"/>
      <c r="R198" s="405"/>
      <c r="S198" s="403"/>
      <c r="T198" s="406"/>
      <c r="U198" s="359"/>
      <c r="V198" s="403"/>
      <c r="W198" s="446"/>
      <c r="X198" s="447"/>
      <c r="Y198" s="448"/>
      <c r="Z198" s="1802"/>
      <c r="AA198" s="1803"/>
      <c r="AB198" s="838"/>
      <c r="AC198" s="838"/>
      <c r="AD198" s="838"/>
      <c r="AE198" s="838"/>
      <c r="AF198" s="838"/>
      <c r="AG198" s="838"/>
      <c r="AH198" s="838"/>
      <c r="AI198" s="838"/>
      <c r="AJ198" s="838"/>
      <c r="AK198" s="838"/>
      <c r="AL198" s="838"/>
      <c r="AM198" s="838"/>
      <c r="AN198" s="838"/>
      <c r="AO198" s="838"/>
      <c r="AP198" s="838"/>
      <c r="AQ198" s="838"/>
      <c r="AR198" s="838"/>
      <c r="AS198" s="838"/>
      <c r="AT198" s="838"/>
    </row>
    <row r="199" spans="1:49" ht="18" customHeight="1" x14ac:dyDescent="0.3">
      <c r="A199" s="867"/>
      <c r="B199" s="449" t="s">
        <v>138</v>
      </c>
      <c r="C199" s="841"/>
      <c r="D199" s="841"/>
      <c r="E199" s="841"/>
      <c r="F199" s="841"/>
      <c r="G199" s="841"/>
      <c r="H199" s="60"/>
      <c r="I199" s="60"/>
      <c r="J199" s="60"/>
      <c r="K199" s="60"/>
      <c r="L199" s="450">
        <f>M199+N199</f>
        <v>66000</v>
      </c>
      <c r="M199" s="451">
        <f>M200+M201+M202+M203</f>
        <v>33000</v>
      </c>
      <c r="N199" s="451">
        <f>N200+N201+N202+N203</f>
        <v>33000</v>
      </c>
      <c r="O199" s="450">
        <f>P199+Q199</f>
        <v>62412.81</v>
      </c>
      <c r="P199" s="451">
        <f>P200+P201+P202+P203</f>
        <v>31206.400000000001</v>
      </c>
      <c r="Q199" s="451">
        <f>Q200+Q201+Q202+Q203</f>
        <v>31206.41</v>
      </c>
      <c r="R199" s="452">
        <f>R201</f>
        <v>0.20405679068855032</v>
      </c>
      <c r="S199" s="450">
        <f>R199/R234*100</f>
        <v>0.78844225357732245</v>
      </c>
      <c r="T199" s="450" t="e">
        <f>U199+#REF!</f>
        <v>#REF!</v>
      </c>
      <c r="U199" s="451">
        <f>U200+U201+U202+U203</f>
        <v>37450</v>
      </c>
      <c r="V199" s="219">
        <f>V200+V201+V202+V203</f>
        <v>72000</v>
      </c>
      <c r="W199" s="416">
        <f>X199</f>
        <v>36000</v>
      </c>
      <c r="X199" s="219">
        <f>X200+X201+X202+X203</f>
        <v>36000</v>
      </c>
      <c r="Y199" s="453"/>
      <c r="Z199" s="1804"/>
      <c r="AA199" s="1803"/>
      <c r="AB199" s="1805"/>
      <c r="AC199" s="1805"/>
      <c r="AD199" s="838"/>
      <c r="AE199" s="838"/>
      <c r="AF199" s="838"/>
      <c r="AG199" s="838"/>
      <c r="AH199" s="838"/>
      <c r="AI199" s="838"/>
      <c r="AJ199" s="838"/>
      <c r="AK199" s="838"/>
      <c r="AL199" s="838"/>
      <c r="AM199" s="838"/>
      <c r="AN199" s="838"/>
      <c r="AO199" s="838"/>
      <c r="AP199" s="838"/>
      <c r="AQ199" s="838"/>
      <c r="AR199" s="838"/>
      <c r="AS199" s="838"/>
      <c r="AT199" s="838"/>
    </row>
    <row r="200" spans="1:49" ht="13" x14ac:dyDescent="0.3">
      <c r="A200" s="865"/>
      <c r="B200" s="887" t="s">
        <v>139</v>
      </c>
      <c r="C200" s="885"/>
      <c r="D200" s="885"/>
      <c r="E200" s="885"/>
      <c r="F200" s="885"/>
      <c r="G200" s="885"/>
      <c r="H200" s="885"/>
      <c r="I200" s="63"/>
      <c r="J200" s="63"/>
      <c r="K200" s="63"/>
      <c r="L200" s="454">
        <f>M200+N200</f>
        <v>0</v>
      </c>
      <c r="M200" s="206"/>
      <c r="N200" s="206"/>
      <c r="O200" s="454">
        <f>P200+Q200</f>
        <v>0</v>
      </c>
      <c r="P200" s="206"/>
      <c r="Q200" s="206"/>
      <c r="R200" s="455" t="e">
        <f>T200+U200</f>
        <v>#REF!</v>
      </c>
      <c r="S200" s="454" t="e">
        <f>U200+#REF!</f>
        <v>#REF!</v>
      </c>
      <c r="T200" s="454" t="e">
        <f>U200+#REF!</f>
        <v>#REF!</v>
      </c>
      <c r="U200" s="206"/>
      <c r="V200" s="225">
        <v>0</v>
      </c>
      <c r="W200" s="456">
        <f>X200+Y200</f>
        <v>0</v>
      </c>
      <c r="X200" s="225">
        <v>0</v>
      </c>
      <c r="Y200" s="428"/>
      <c r="Z200" s="1806"/>
      <c r="AA200" s="1805"/>
      <c r="AB200" s="1805"/>
      <c r="AC200" s="1805"/>
      <c r="AD200" s="838"/>
      <c r="AE200" s="838"/>
      <c r="AF200" s="838"/>
      <c r="AG200" s="838"/>
      <c r="AH200" s="838"/>
      <c r="AI200" s="838"/>
      <c r="AJ200" s="838"/>
      <c r="AK200" s="838"/>
      <c r="AL200" s="838"/>
      <c r="AM200" s="838"/>
      <c r="AN200" s="838"/>
      <c r="AO200" s="838"/>
      <c r="AP200" s="838"/>
      <c r="AQ200" s="838"/>
      <c r="AR200" s="838"/>
      <c r="AS200" s="838"/>
      <c r="AT200" s="838"/>
    </row>
    <row r="201" spans="1:49" ht="13" x14ac:dyDescent="0.3">
      <c r="A201" s="865"/>
      <c r="B201" s="887" t="s">
        <v>140</v>
      </c>
      <c r="C201" s="885"/>
      <c r="D201" s="885"/>
      <c r="E201" s="885"/>
      <c r="F201" s="885"/>
      <c r="G201" s="885"/>
      <c r="H201" s="885"/>
      <c r="I201" s="63"/>
      <c r="J201" s="1102" t="s">
        <v>283</v>
      </c>
      <c r="K201" s="1103" t="s">
        <v>141</v>
      </c>
      <c r="L201" s="1104">
        <f>M201+N201</f>
        <v>66000</v>
      </c>
      <c r="M201" s="1098">
        <v>33000</v>
      </c>
      <c r="N201" s="1098">
        <v>33000</v>
      </c>
      <c r="O201" s="1104">
        <f>P201+Q201</f>
        <v>62412.81</v>
      </c>
      <c r="P201" s="1098">
        <v>31206.400000000001</v>
      </c>
      <c r="Q201" s="1098">
        <v>31206.41</v>
      </c>
      <c r="R201" s="1105">
        <f>O201/10/30586</f>
        <v>0.20405679068855032</v>
      </c>
      <c r="S201" s="1104" t="e">
        <f>U201+#REF!</f>
        <v>#REF!</v>
      </c>
      <c r="T201" s="1104" t="e">
        <f>U201+#REF!</f>
        <v>#REF!</v>
      </c>
      <c r="U201" s="1098">
        <v>37450</v>
      </c>
      <c r="V201" s="1106">
        <f>W201+X201</f>
        <v>72000</v>
      </c>
      <c r="W201" s="1107">
        <v>36000</v>
      </c>
      <c r="X201" s="1106">
        <v>36000</v>
      </c>
      <c r="Y201" s="428"/>
      <c r="Z201" s="1189"/>
      <c r="AA201" s="893"/>
      <c r="AB201" s="838"/>
      <c r="AC201" s="838"/>
      <c r="AD201" s="838"/>
      <c r="AE201" s="838"/>
      <c r="AF201" s="838"/>
      <c r="AG201" s="838"/>
      <c r="AH201" s="838"/>
      <c r="AI201" s="838"/>
      <c r="AJ201" s="838"/>
      <c r="AK201" s="838"/>
      <c r="AL201" s="838"/>
      <c r="AM201" s="838"/>
      <c r="AN201" s="838"/>
      <c r="AO201" s="838"/>
      <c r="AP201" s="838"/>
      <c r="AQ201" s="838"/>
      <c r="AR201" s="838"/>
      <c r="AS201" s="838"/>
      <c r="AT201" s="838"/>
    </row>
    <row r="202" spans="1:49" ht="13.5" thickBot="1" x14ac:dyDescent="0.35">
      <c r="A202" s="865"/>
      <c r="B202" s="67" t="s">
        <v>142</v>
      </c>
      <c r="C202" s="892"/>
      <c r="D202" s="892"/>
      <c r="E202" s="892"/>
      <c r="F202" s="892"/>
      <c r="G202" s="892"/>
      <c r="H202" s="892"/>
      <c r="I202" s="458"/>
      <c r="J202" s="459"/>
      <c r="K202" s="458"/>
      <c r="L202" s="460">
        <f>M202+N202</f>
        <v>0</v>
      </c>
      <c r="M202" s="461"/>
      <c r="N202" s="461"/>
      <c r="O202" s="460">
        <f>P202+Q202</f>
        <v>0</v>
      </c>
      <c r="P202" s="461"/>
      <c r="Q202" s="461"/>
      <c r="R202" s="462" t="e">
        <f>T202+U202</f>
        <v>#REF!</v>
      </c>
      <c r="S202" s="460" t="e">
        <f>U202+#REF!</f>
        <v>#REF!</v>
      </c>
      <c r="T202" s="460" t="e">
        <f>U202+#REF!</f>
        <v>#REF!</v>
      </c>
      <c r="U202" s="461"/>
      <c r="V202" s="463">
        <v>0</v>
      </c>
      <c r="W202" s="464">
        <f>X202+Y202</f>
        <v>0</v>
      </c>
      <c r="X202" s="463">
        <v>0</v>
      </c>
      <c r="Y202" s="445"/>
      <c r="Z202" s="376"/>
      <c r="AA202" s="893"/>
      <c r="AB202" s="838"/>
      <c r="AC202" s="838"/>
      <c r="AD202" s="838"/>
      <c r="AE202" s="838"/>
      <c r="AF202" s="838"/>
      <c r="AG202" s="838"/>
      <c r="AH202" s="838"/>
      <c r="AI202" s="838"/>
      <c r="AJ202" s="838"/>
      <c r="AK202" s="838"/>
      <c r="AL202" s="838"/>
      <c r="AM202" s="838"/>
      <c r="AN202" s="838"/>
      <c r="AO202" s="838"/>
      <c r="AP202" s="838"/>
      <c r="AQ202" s="838"/>
      <c r="AR202" s="838"/>
      <c r="AS202" s="838"/>
      <c r="AT202" s="838"/>
    </row>
    <row r="203" spans="1:49" ht="12.75" customHeight="1" thickBot="1" x14ac:dyDescent="0.35">
      <c r="A203" s="181"/>
      <c r="B203" s="465" t="s">
        <v>143</v>
      </c>
      <c r="C203" s="458"/>
      <c r="D203" s="458"/>
      <c r="E203" s="458"/>
      <c r="F203" s="458"/>
      <c r="G203" s="458"/>
      <c r="H203" s="458"/>
      <c r="I203" s="458"/>
      <c r="J203" s="466"/>
      <c r="K203" s="466"/>
      <c r="L203" s="467">
        <f>M203+N203</f>
        <v>0</v>
      </c>
      <c r="M203" s="468">
        <v>0</v>
      </c>
      <c r="N203" s="468">
        <v>0</v>
      </c>
      <c r="O203" s="467">
        <f>P203+Q203</f>
        <v>0</v>
      </c>
      <c r="P203" s="468">
        <v>0</v>
      </c>
      <c r="Q203" s="468">
        <v>0</v>
      </c>
      <c r="R203" s="469" t="e">
        <f>T203+U203</f>
        <v>#REF!</v>
      </c>
      <c r="S203" s="467" t="e">
        <f>U203+#REF!</f>
        <v>#REF!</v>
      </c>
      <c r="T203" s="467" t="e">
        <f>U203+#REF!</f>
        <v>#REF!</v>
      </c>
      <c r="U203" s="468">
        <v>0</v>
      </c>
      <c r="V203" s="470">
        <v>0</v>
      </c>
      <c r="W203" s="471">
        <f>X203+Y203</f>
        <v>0</v>
      </c>
      <c r="X203" s="470">
        <v>0</v>
      </c>
      <c r="Y203" s="472"/>
      <c r="Z203" s="1196"/>
      <c r="AA203" s="838"/>
      <c r="AB203" s="838"/>
      <c r="AC203" s="838"/>
      <c r="AD203" s="838"/>
      <c r="AE203" s="838"/>
      <c r="AF203" s="838"/>
      <c r="AG203" s="838"/>
      <c r="AH203" s="838"/>
      <c r="AI203" s="838"/>
      <c r="AJ203" s="838"/>
      <c r="AK203" s="838"/>
      <c r="AL203" s="838"/>
      <c r="AM203" s="838"/>
      <c r="AN203" s="838"/>
      <c r="AO203" s="838"/>
      <c r="AP203" s="838"/>
      <c r="AQ203" s="838"/>
      <c r="AR203" s="838"/>
      <c r="AS203" s="838"/>
      <c r="AT203" s="838"/>
    </row>
    <row r="204" spans="1:49" ht="4.5" hidden="1" customHeight="1" x14ac:dyDescent="0.25">
      <c r="A204" s="838"/>
      <c r="B204" s="402"/>
      <c r="C204" s="842"/>
      <c r="D204" s="842"/>
      <c r="E204" s="842"/>
      <c r="F204" s="842"/>
      <c r="G204" s="842"/>
      <c r="H204" s="842"/>
      <c r="I204" s="842"/>
      <c r="J204" s="842"/>
      <c r="K204" s="842"/>
      <c r="L204" s="403"/>
      <c r="M204" s="257"/>
      <c r="N204" s="257"/>
      <c r="O204" s="403"/>
      <c r="P204" s="257"/>
      <c r="Q204" s="257"/>
      <c r="R204" s="405"/>
      <c r="S204" s="403"/>
      <c r="T204" s="406"/>
      <c r="U204" s="245"/>
      <c r="V204" s="403"/>
      <c r="W204" s="446"/>
      <c r="X204" s="906"/>
      <c r="Y204" s="248"/>
      <c r="Z204" s="242"/>
      <c r="AA204" s="838"/>
      <c r="AB204" s="838"/>
      <c r="AC204" s="838"/>
      <c r="AD204" s="838"/>
      <c r="AE204" s="838"/>
      <c r="AF204" s="838"/>
      <c r="AG204" s="838"/>
      <c r="AH204" s="838"/>
      <c r="AI204" s="838"/>
      <c r="AJ204" s="838"/>
      <c r="AK204" s="838"/>
      <c r="AL204" s="838"/>
      <c r="AM204" s="838"/>
      <c r="AN204" s="838"/>
      <c r="AO204" s="838"/>
      <c r="AP204" s="838"/>
      <c r="AQ204" s="838"/>
      <c r="AR204" s="838"/>
      <c r="AS204" s="838"/>
      <c r="AT204" s="838"/>
    </row>
    <row r="205" spans="1:49" hidden="1" x14ac:dyDescent="0.25">
      <c r="A205" s="838"/>
      <c r="B205" s="850"/>
      <c r="C205" s="850"/>
      <c r="D205" s="850"/>
      <c r="E205" s="850"/>
      <c r="F205" s="850"/>
      <c r="G205" s="850"/>
      <c r="H205" s="850"/>
      <c r="I205" s="850"/>
      <c r="J205" s="850"/>
      <c r="K205" s="850"/>
      <c r="L205" s="161"/>
      <c r="M205" s="270"/>
      <c r="N205" s="270"/>
      <c r="O205" s="161"/>
      <c r="P205" s="270"/>
      <c r="Q205" s="270"/>
      <c r="R205" s="199"/>
      <c r="S205" s="161"/>
      <c r="T205" s="254"/>
      <c r="U205" s="359"/>
      <c r="V205" s="161"/>
      <c r="W205" s="901"/>
      <c r="X205" s="447"/>
      <c r="Y205" s="271"/>
      <c r="Z205" s="201"/>
      <c r="AA205" s="838"/>
      <c r="AB205" s="838"/>
      <c r="AC205" s="838"/>
      <c r="AD205" s="838"/>
      <c r="AE205" s="838"/>
      <c r="AF205" s="838"/>
      <c r="AG205" s="838"/>
      <c r="AH205" s="838"/>
      <c r="AI205" s="838"/>
      <c r="AJ205" s="838"/>
      <c r="AK205" s="838"/>
      <c r="AL205" s="838"/>
      <c r="AM205" s="838"/>
      <c r="AN205" s="838"/>
      <c r="AO205" s="838"/>
      <c r="AP205" s="838"/>
      <c r="AQ205" s="838"/>
      <c r="AR205" s="838"/>
      <c r="AS205" s="838"/>
      <c r="AT205" s="838"/>
    </row>
    <row r="206" spans="1:49" hidden="1" x14ac:dyDescent="0.25">
      <c r="A206" s="838"/>
      <c r="B206" s="850"/>
      <c r="C206" s="850"/>
      <c r="D206" s="850"/>
      <c r="E206" s="850"/>
      <c r="F206" s="850"/>
      <c r="G206" s="850"/>
      <c r="H206" s="850"/>
      <c r="I206" s="850"/>
      <c r="J206" s="850"/>
      <c r="K206" s="850"/>
      <c r="L206" s="161"/>
      <c r="M206" s="270"/>
      <c r="N206" s="270"/>
      <c r="O206" s="161"/>
      <c r="P206" s="270"/>
      <c r="Q206" s="270"/>
      <c r="R206" s="199"/>
      <c r="S206" s="161"/>
      <c r="T206" s="254"/>
      <c r="U206" s="359"/>
      <c r="V206" s="161"/>
      <c r="W206" s="901"/>
      <c r="X206" s="447"/>
      <c r="Y206" s="271"/>
      <c r="Z206" s="201"/>
      <c r="AA206" s="838"/>
      <c r="AB206" s="838"/>
      <c r="AC206" s="838"/>
      <c r="AD206" s="838"/>
      <c r="AE206" s="838"/>
      <c r="AF206" s="838"/>
      <c r="AG206" s="838"/>
      <c r="AH206" s="838"/>
      <c r="AI206" s="838"/>
      <c r="AJ206" s="838"/>
      <c r="AK206" s="838"/>
      <c r="AL206" s="838"/>
      <c r="AM206" s="838"/>
      <c r="AN206" s="838"/>
      <c r="AO206" s="838"/>
      <c r="AP206" s="838"/>
      <c r="AQ206" s="838"/>
      <c r="AR206" s="838"/>
      <c r="AS206" s="838"/>
      <c r="AT206" s="838"/>
    </row>
    <row r="207" spans="1:49" hidden="1" x14ac:dyDescent="0.25">
      <c r="A207" s="838"/>
      <c r="B207" s="850"/>
      <c r="C207" s="850"/>
      <c r="D207" s="850"/>
      <c r="E207" s="850"/>
      <c r="F207" s="850"/>
      <c r="G207" s="850"/>
      <c r="H207" s="850"/>
      <c r="I207" s="850"/>
      <c r="J207" s="850"/>
      <c r="K207" s="850"/>
      <c r="L207" s="161"/>
      <c r="M207" s="270"/>
      <c r="N207" s="270"/>
      <c r="O207" s="161"/>
      <c r="P207" s="270"/>
      <c r="Q207" s="270"/>
      <c r="R207" s="199"/>
      <c r="S207" s="161"/>
      <c r="T207" s="254"/>
      <c r="U207" s="359"/>
      <c r="V207" s="161"/>
      <c r="W207" s="901"/>
      <c r="X207" s="447"/>
      <c r="Y207" s="271"/>
      <c r="Z207" s="201"/>
      <c r="AA207" s="838"/>
      <c r="AB207" s="838"/>
      <c r="AC207" s="838"/>
      <c r="AD207" s="838"/>
      <c r="AE207" s="838"/>
      <c r="AF207" s="838"/>
      <c r="AG207" s="838"/>
      <c r="AH207" s="838"/>
      <c r="AI207" s="838"/>
      <c r="AJ207" s="838"/>
      <c r="AK207" s="838"/>
      <c r="AL207" s="838"/>
      <c r="AM207" s="838"/>
      <c r="AN207" s="838"/>
      <c r="AO207" s="838"/>
      <c r="AP207" s="838"/>
      <c r="AQ207" s="838"/>
      <c r="AR207" s="838"/>
      <c r="AS207" s="838"/>
      <c r="AT207" s="838"/>
    </row>
    <row r="208" spans="1:49" hidden="1" x14ac:dyDescent="0.25">
      <c r="A208" s="838"/>
      <c r="B208" s="850"/>
      <c r="C208" s="850"/>
      <c r="D208" s="850"/>
      <c r="E208" s="850"/>
      <c r="F208" s="850"/>
      <c r="G208" s="850"/>
      <c r="H208" s="850"/>
      <c r="I208" s="850"/>
      <c r="J208" s="850"/>
      <c r="K208" s="850"/>
      <c r="L208" s="161"/>
      <c r="M208" s="270"/>
      <c r="N208" s="270"/>
      <c r="O208" s="161"/>
      <c r="P208" s="270"/>
      <c r="Q208" s="270"/>
      <c r="R208" s="199"/>
      <c r="S208" s="161"/>
      <c r="T208" s="254"/>
      <c r="U208" s="359"/>
      <c r="V208" s="161"/>
      <c r="W208" s="901"/>
      <c r="X208" s="447"/>
      <c r="Y208" s="271"/>
      <c r="Z208" s="201"/>
      <c r="AA208" s="838"/>
      <c r="AB208" s="838"/>
      <c r="AC208" s="838"/>
      <c r="AD208" s="838"/>
      <c r="AE208" s="838"/>
      <c r="AF208" s="838"/>
      <c r="AG208" s="838"/>
      <c r="AH208" s="838"/>
      <c r="AI208" s="838"/>
      <c r="AJ208" s="838"/>
      <c r="AK208" s="838"/>
      <c r="AL208" s="838"/>
      <c r="AM208" s="838"/>
      <c r="AN208" s="838"/>
      <c r="AO208" s="838"/>
      <c r="AP208" s="838"/>
      <c r="AQ208" s="838"/>
      <c r="AR208" s="838"/>
      <c r="AS208" s="838"/>
      <c r="AT208" s="838"/>
    </row>
    <row r="209" spans="1:46" hidden="1" x14ac:dyDescent="0.25">
      <c r="A209" s="838"/>
      <c r="B209" s="850"/>
      <c r="C209" s="850"/>
      <c r="D209" s="850"/>
      <c r="E209" s="850"/>
      <c r="F209" s="850"/>
      <c r="G209" s="850"/>
      <c r="H209" s="850"/>
      <c r="I209" s="850"/>
      <c r="J209" s="850"/>
      <c r="K209" s="850"/>
      <c r="L209" s="161"/>
      <c r="M209" s="270"/>
      <c r="N209" s="270"/>
      <c r="O209" s="161"/>
      <c r="P209" s="270"/>
      <c r="Q209" s="270"/>
      <c r="R209" s="199"/>
      <c r="S209" s="161"/>
      <c r="T209" s="254"/>
      <c r="U209" s="359"/>
      <c r="V209" s="161"/>
      <c r="W209" s="901"/>
      <c r="X209" s="447"/>
      <c r="Y209" s="271"/>
      <c r="Z209" s="201"/>
      <c r="AA209" s="838"/>
      <c r="AB209" s="838"/>
      <c r="AC209" s="838"/>
      <c r="AD209" s="838"/>
      <c r="AE209" s="838"/>
      <c r="AF209" s="838"/>
      <c r="AG209" s="838"/>
      <c r="AH209" s="838"/>
      <c r="AI209" s="838"/>
      <c r="AJ209" s="838"/>
      <c r="AK209" s="838"/>
      <c r="AL209" s="838"/>
      <c r="AM209" s="838"/>
      <c r="AN209" s="838"/>
      <c r="AO209" s="838"/>
      <c r="AP209" s="838"/>
      <c r="AQ209" s="838"/>
      <c r="AR209" s="838"/>
      <c r="AS209" s="838"/>
      <c r="AT209" s="838"/>
    </row>
    <row r="210" spans="1:46" hidden="1" x14ac:dyDescent="0.25">
      <c r="A210" s="838"/>
      <c r="B210" s="850"/>
      <c r="C210" s="850"/>
      <c r="D210" s="850"/>
      <c r="E210" s="850"/>
      <c r="F210" s="850"/>
      <c r="G210" s="850"/>
      <c r="H210" s="850"/>
      <c r="I210" s="850"/>
      <c r="J210" s="850"/>
      <c r="K210" s="850"/>
      <c r="L210" s="161"/>
      <c r="M210" s="270"/>
      <c r="N210" s="270"/>
      <c r="O210" s="161"/>
      <c r="P210" s="270"/>
      <c r="Q210" s="270"/>
      <c r="R210" s="199"/>
      <c r="S210" s="161"/>
      <c r="T210" s="254"/>
      <c r="U210" s="359"/>
      <c r="V210" s="161"/>
      <c r="W210" s="901"/>
      <c r="X210" s="447"/>
      <c r="Y210" s="271"/>
      <c r="Z210" s="201"/>
      <c r="AA210" s="838"/>
      <c r="AB210" s="838"/>
      <c r="AC210" s="838"/>
      <c r="AD210" s="838"/>
      <c r="AE210" s="838"/>
      <c r="AF210" s="838"/>
      <c r="AG210" s="838"/>
      <c r="AH210" s="838"/>
      <c r="AI210" s="838"/>
      <c r="AJ210" s="838"/>
      <c r="AK210" s="838"/>
      <c r="AL210" s="838"/>
      <c r="AM210" s="838"/>
      <c r="AN210" s="838"/>
      <c r="AO210" s="838"/>
      <c r="AP210" s="838"/>
      <c r="AQ210" s="838"/>
      <c r="AR210" s="838"/>
      <c r="AS210" s="838"/>
      <c r="AT210" s="838"/>
    </row>
    <row r="211" spans="1:46" hidden="1" x14ac:dyDescent="0.25">
      <c r="A211" s="838"/>
      <c r="B211" s="850"/>
      <c r="C211" s="850"/>
      <c r="D211" s="850"/>
      <c r="E211" s="850"/>
      <c r="F211" s="850"/>
      <c r="G211" s="850"/>
      <c r="H211" s="850"/>
      <c r="I211" s="850"/>
      <c r="J211" s="850"/>
      <c r="K211" s="850"/>
      <c r="L211" s="161"/>
      <c r="M211" s="270"/>
      <c r="N211" s="270"/>
      <c r="O211" s="161"/>
      <c r="P211" s="270"/>
      <c r="Q211" s="270"/>
      <c r="R211" s="199"/>
      <c r="S211" s="161"/>
      <c r="T211" s="254"/>
      <c r="U211" s="359"/>
      <c r="V211" s="161"/>
      <c r="W211" s="901"/>
      <c r="X211" s="447"/>
      <c r="Y211" s="271"/>
      <c r="Z211" s="201"/>
      <c r="AA211" s="838"/>
      <c r="AB211" s="838"/>
      <c r="AC211" s="838"/>
      <c r="AD211" s="838"/>
      <c r="AE211" s="838"/>
      <c r="AF211" s="838"/>
      <c r="AG211" s="838"/>
      <c r="AH211" s="838"/>
      <c r="AI211" s="838"/>
      <c r="AJ211" s="838"/>
      <c r="AK211" s="838"/>
      <c r="AL211" s="838"/>
      <c r="AM211" s="838"/>
      <c r="AN211" s="838"/>
      <c r="AO211" s="838"/>
      <c r="AP211" s="838"/>
      <c r="AQ211" s="838"/>
      <c r="AR211" s="838"/>
      <c r="AS211" s="838"/>
      <c r="AT211" s="838"/>
    </row>
    <row r="212" spans="1:46" ht="0.75" customHeight="1" thickBot="1" x14ac:dyDescent="0.3">
      <c r="A212" s="838"/>
      <c r="B212" s="473"/>
      <c r="C212" s="290"/>
      <c r="D212" s="290"/>
      <c r="E212" s="290"/>
      <c r="F212" s="290"/>
      <c r="G212" s="290"/>
      <c r="H212" s="290"/>
      <c r="I212" s="290"/>
      <c r="J212" s="290"/>
      <c r="K212" s="290"/>
      <c r="L212" s="165"/>
      <c r="M212" s="198"/>
      <c r="N212" s="198"/>
      <c r="O212" s="165"/>
      <c r="P212" s="198"/>
      <c r="Q212" s="198"/>
      <c r="R212" s="240"/>
      <c r="S212" s="165"/>
      <c r="T212" s="246"/>
      <c r="U212" s="252"/>
      <c r="V212" s="165"/>
      <c r="W212" s="901"/>
      <c r="X212" s="884"/>
      <c r="Y212" s="200"/>
      <c r="Z212" s="242"/>
      <c r="AA212" s="838"/>
      <c r="AB212" s="838"/>
      <c r="AC212" s="838"/>
      <c r="AD212" s="838"/>
      <c r="AE212" s="838"/>
      <c r="AF212" s="838"/>
      <c r="AG212" s="838"/>
      <c r="AH212" s="838"/>
      <c r="AI212" s="838"/>
      <c r="AJ212" s="838"/>
      <c r="AK212" s="838"/>
      <c r="AL212" s="838"/>
      <c r="AM212" s="838"/>
      <c r="AN212" s="838"/>
      <c r="AO212" s="838"/>
      <c r="AP212" s="838"/>
      <c r="AQ212" s="838"/>
      <c r="AR212" s="838"/>
      <c r="AS212" s="838"/>
      <c r="AT212" s="838"/>
    </row>
    <row r="213" spans="1:46" ht="13" hidden="1" thickBot="1" x14ac:dyDescent="0.3">
      <c r="A213" s="838"/>
      <c r="B213" s="402"/>
      <c r="C213" s="842"/>
      <c r="D213" s="842"/>
      <c r="E213" s="842"/>
      <c r="F213" s="842"/>
      <c r="G213" s="842"/>
      <c r="H213" s="842"/>
      <c r="I213" s="842"/>
      <c r="J213" s="842"/>
      <c r="K213" s="842"/>
      <c r="L213" s="307"/>
      <c r="M213" s="236"/>
      <c r="N213" s="236"/>
      <c r="O213" s="307"/>
      <c r="P213" s="236"/>
      <c r="Q213" s="236"/>
      <c r="R213" s="408"/>
      <c r="S213" s="307"/>
      <c r="T213" s="409"/>
      <c r="U213" s="338"/>
      <c r="V213" s="307"/>
      <c r="W213" s="474"/>
      <c r="X213" s="907"/>
      <c r="Y213" s="396"/>
      <c r="Z213" s="242"/>
      <c r="AA213" s="838"/>
      <c r="AB213" s="838"/>
      <c r="AC213" s="838"/>
      <c r="AD213" s="838"/>
      <c r="AE213" s="838"/>
      <c r="AF213" s="838"/>
      <c r="AG213" s="838"/>
      <c r="AH213" s="838"/>
      <c r="AI213" s="838"/>
      <c r="AJ213" s="838"/>
      <c r="AK213" s="838"/>
      <c r="AL213" s="838"/>
      <c r="AM213" s="838"/>
      <c r="AN213" s="838"/>
      <c r="AO213" s="838"/>
      <c r="AP213" s="838"/>
      <c r="AQ213" s="838"/>
      <c r="AR213" s="838"/>
      <c r="AS213" s="838"/>
      <c r="AT213" s="838"/>
    </row>
    <row r="214" spans="1:46" ht="13" x14ac:dyDescent="0.3">
      <c r="A214" s="138"/>
      <c r="B214" s="449" t="s">
        <v>144</v>
      </c>
      <c r="C214" s="841"/>
      <c r="D214" s="841"/>
      <c r="E214" s="841"/>
      <c r="F214" s="841"/>
      <c r="G214" s="849"/>
      <c r="H214" s="849"/>
      <c r="I214" s="849"/>
      <c r="J214" s="849"/>
      <c r="K214" s="849"/>
      <c r="L214" s="475">
        <f t="shared" ref="L214:L219" si="17">M214+N214</f>
        <v>112000</v>
      </c>
      <c r="M214" s="476">
        <f>M216</f>
        <v>56000</v>
      </c>
      <c r="N214" s="476">
        <f>N216</f>
        <v>56000</v>
      </c>
      <c r="O214" s="477">
        <f t="shared" ref="O214:O220" si="18">P214+Q214</f>
        <v>58154</v>
      </c>
      <c r="P214" s="478">
        <f>P216</f>
        <v>29077</v>
      </c>
      <c r="Q214" s="478">
        <f>Q216</f>
        <v>29077</v>
      </c>
      <c r="R214" s="479">
        <f>R216</f>
        <v>0.19013274046949583</v>
      </c>
      <c r="S214" s="475">
        <f>R214/R234*100</f>
        <v>0.73464198799149738</v>
      </c>
      <c r="T214" s="477" t="e">
        <f>U214+#REF!</f>
        <v>#REF!</v>
      </c>
      <c r="U214" s="478">
        <f t="shared" ref="U214:X214" si="19">U216</f>
        <v>29077</v>
      </c>
      <c r="V214" s="480">
        <f t="shared" si="19"/>
        <v>128069</v>
      </c>
      <c r="W214" s="481">
        <f t="shared" si="19"/>
        <v>64034.5</v>
      </c>
      <c r="X214" s="480">
        <f t="shared" si="19"/>
        <v>64034.5</v>
      </c>
      <c r="Y214" s="482"/>
      <c r="Z214" s="382"/>
      <c r="AA214" s="838"/>
      <c r="AB214" s="838"/>
      <c r="AC214" s="838"/>
      <c r="AD214" s="838"/>
      <c r="AE214" s="838"/>
      <c r="AF214" s="838"/>
      <c r="AG214" s="838"/>
      <c r="AH214" s="838"/>
      <c r="AI214" s="838"/>
      <c r="AJ214" s="838"/>
      <c r="AK214" s="838"/>
      <c r="AL214" s="838"/>
      <c r="AM214" s="838"/>
      <c r="AN214" s="838"/>
      <c r="AO214" s="838"/>
      <c r="AP214" s="838"/>
      <c r="AQ214" s="838"/>
      <c r="AR214" s="838"/>
      <c r="AS214" s="838"/>
      <c r="AT214" s="838"/>
    </row>
    <row r="215" spans="1:46" ht="0.75" customHeight="1" x14ac:dyDescent="0.3">
      <c r="A215" s="157"/>
      <c r="B215" s="853"/>
      <c r="C215" s="842"/>
      <c r="D215" s="842"/>
      <c r="E215" s="842"/>
      <c r="F215" s="842"/>
      <c r="G215" s="842"/>
      <c r="H215" s="842"/>
      <c r="I215" s="842"/>
      <c r="J215" s="842"/>
      <c r="K215" s="842"/>
      <c r="L215" s="422">
        <f t="shared" si="17"/>
        <v>0</v>
      </c>
      <c r="M215" s="423"/>
      <c r="N215" s="423"/>
      <c r="O215" s="483">
        <f t="shared" si="18"/>
        <v>0</v>
      </c>
      <c r="P215" s="484"/>
      <c r="Q215" s="484"/>
      <c r="R215" s="485" t="e">
        <f>T215+U215</f>
        <v>#REF!</v>
      </c>
      <c r="S215" s="163" t="e">
        <f>U215+#REF!</f>
        <v>#REF!</v>
      </c>
      <c r="T215" s="486" t="e">
        <f>U215+#REF!</f>
        <v>#REF!</v>
      </c>
      <c r="U215" s="487"/>
      <c r="V215" s="423"/>
      <c r="W215" s="315">
        <f t="shared" ref="W215:W220" si="20">X215+Y215</f>
        <v>0</v>
      </c>
      <c r="X215" s="423"/>
      <c r="Y215" s="488"/>
      <c r="Z215" s="242"/>
      <c r="AA215" s="838"/>
      <c r="AB215" s="838"/>
      <c r="AC215" s="838"/>
      <c r="AD215" s="838"/>
      <c r="AE215" s="838"/>
      <c r="AF215" s="838"/>
      <c r="AG215" s="838"/>
      <c r="AH215" s="838"/>
      <c r="AI215" s="838"/>
      <c r="AJ215" s="838"/>
      <c r="AK215" s="838"/>
      <c r="AL215" s="838"/>
      <c r="AM215" s="838"/>
      <c r="AN215" s="838"/>
      <c r="AO215" s="838"/>
      <c r="AP215" s="838"/>
      <c r="AQ215" s="838"/>
      <c r="AR215" s="838"/>
      <c r="AS215" s="838"/>
      <c r="AT215" s="838"/>
    </row>
    <row r="216" spans="1:46" ht="13" thickBot="1" x14ac:dyDescent="0.3">
      <c r="A216" s="181"/>
      <c r="B216" s="843" t="s">
        <v>145</v>
      </c>
      <c r="C216" s="844"/>
      <c r="D216" s="844"/>
      <c r="E216" s="844"/>
      <c r="F216" s="844"/>
      <c r="G216" s="844"/>
      <c r="H216" s="844"/>
      <c r="I216" s="844"/>
      <c r="J216" s="844"/>
      <c r="K216" s="844"/>
      <c r="L216" s="212">
        <f t="shared" si="17"/>
        <v>112000</v>
      </c>
      <c r="M216" s="213">
        <v>56000</v>
      </c>
      <c r="N216" s="213">
        <v>56000</v>
      </c>
      <c r="O216" s="212">
        <f t="shared" si="18"/>
        <v>58154</v>
      </c>
      <c r="P216" s="213">
        <v>29077</v>
      </c>
      <c r="Q216" s="213">
        <v>29077</v>
      </c>
      <c r="R216" s="240">
        <f>O216/10/30586</f>
        <v>0.19013274046949583</v>
      </c>
      <c r="S216" s="212" t="e">
        <f>U216+#REF!</f>
        <v>#REF!</v>
      </c>
      <c r="T216" s="489" t="e">
        <f>U216+#REF!</f>
        <v>#REF!</v>
      </c>
      <c r="U216" s="347">
        <v>29077</v>
      </c>
      <c r="V216" s="1294">
        <f>W216+X216</f>
        <v>128069</v>
      </c>
      <c r="W216" s="1295">
        <f>128069/2</f>
        <v>64034.5</v>
      </c>
      <c r="X216" s="1295">
        <f>128069/2</f>
        <v>64034.5</v>
      </c>
      <c r="Y216" s="215"/>
      <c r="Z216" s="242"/>
      <c r="AA216" s="838"/>
      <c r="AB216" s="838"/>
      <c r="AC216" s="838"/>
      <c r="AD216" s="838"/>
      <c r="AE216" s="838"/>
      <c r="AF216" s="838"/>
      <c r="AG216" s="838"/>
      <c r="AH216" s="838"/>
      <c r="AI216" s="838"/>
      <c r="AJ216" s="838"/>
      <c r="AK216" s="838"/>
      <c r="AL216" s="838"/>
      <c r="AM216" s="838"/>
      <c r="AN216" s="838"/>
      <c r="AO216" s="838"/>
      <c r="AP216" s="838"/>
      <c r="AQ216" s="838"/>
      <c r="AR216" s="838"/>
      <c r="AS216" s="838"/>
      <c r="AT216" s="838"/>
    </row>
    <row r="217" spans="1:46" ht="13" x14ac:dyDescent="0.3">
      <c r="A217" s="138"/>
      <c r="B217" s="449" t="s">
        <v>146</v>
      </c>
      <c r="C217" s="841"/>
      <c r="D217" s="841"/>
      <c r="E217" s="841"/>
      <c r="F217" s="841"/>
      <c r="G217" s="841"/>
      <c r="H217" s="849"/>
      <c r="I217" s="849"/>
      <c r="J217" s="849"/>
      <c r="K217" s="849"/>
      <c r="L217" s="434">
        <f t="shared" si="17"/>
        <v>320000</v>
      </c>
      <c r="M217" s="219">
        <f>M218+M219+M220+M223</f>
        <v>160000</v>
      </c>
      <c r="N217" s="219">
        <f>N218+N219+N220+N223</f>
        <v>160000</v>
      </c>
      <c r="O217" s="490">
        <f t="shared" si="18"/>
        <v>302460.95999999996</v>
      </c>
      <c r="P217" s="371">
        <f>P218+P219+P220+P223</f>
        <v>151230.47999999998</v>
      </c>
      <c r="Q217" s="371">
        <f>Q218+Q219+Q220+Q223</f>
        <v>151230.47999999998</v>
      </c>
      <c r="R217" s="433">
        <f>R218+R219+R220</f>
        <v>0.98888694173805014</v>
      </c>
      <c r="S217" s="434">
        <f>R217/R234*100</f>
        <v>3.8208983207383294</v>
      </c>
      <c r="T217" s="490" t="e">
        <f>U217+#REF!</f>
        <v>#REF!</v>
      </c>
      <c r="U217" s="371">
        <f>U218+U219+U220+U223</f>
        <v>173980</v>
      </c>
      <c r="V217" s="861">
        <f>V218+V219+V220+V223+V221+V222</f>
        <v>450000</v>
      </c>
      <c r="W217" s="861">
        <f>W218+W219+W220+W223+W221+W222</f>
        <v>300000</v>
      </c>
      <c r="X217" s="861">
        <f>X218+X219+X220+X223+X221+X222</f>
        <v>150000</v>
      </c>
      <c r="Y217" s="372"/>
      <c r="Z217" s="268"/>
      <c r="AA217" s="838"/>
      <c r="AB217" s="838"/>
      <c r="AC217" s="838"/>
      <c r="AD217" s="838"/>
      <c r="AE217" s="838"/>
      <c r="AF217" s="838"/>
      <c r="AG217" s="838"/>
      <c r="AH217" s="838"/>
      <c r="AI217" s="838"/>
      <c r="AJ217" s="838"/>
      <c r="AK217" s="838"/>
      <c r="AL217" s="838"/>
      <c r="AM217" s="838"/>
      <c r="AN217" s="838"/>
      <c r="AO217" s="838"/>
      <c r="AP217" s="838"/>
      <c r="AQ217" s="838"/>
      <c r="AR217" s="838"/>
      <c r="AS217" s="838"/>
      <c r="AT217" s="838"/>
    </row>
    <row r="218" spans="1:46" ht="13" thickBot="1" x14ac:dyDescent="0.3">
      <c r="A218" s="157"/>
      <c r="B218" s="887" t="s">
        <v>355</v>
      </c>
      <c r="C218" s="842"/>
      <c r="D218" s="842"/>
      <c r="E218" s="842"/>
      <c r="F218" s="842"/>
      <c r="G218" s="842"/>
      <c r="H218" s="842"/>
      <c r="I218" s="842"/>
      <c r="J218" s="842"/>
      <c r="K218" s="842"/>
      <c r="L218" s="212">
        <f t="shared" si="17"/>
        <v>45000</v>
      </c>
      <c r="M218" s="198">
        <v>22500</v>
      </c>
      <c r="N218" s="198">
        <v>22500</v>
      </c>
      <c r="O218" s="323">
        <f t="shared" si="18"/>
        <v>45000</v>
      </c>
      <c r="P218" s="252">
        <v>22500</v>
      </c>
      <c r="Q218" s="252">
        <v>22500</v>
      </c>
      <c r="R218" s="240">
        <f>O218/10/30586</f>
        <v>0.14712613614071798</v>
      </c>
      <c r="S218" s="165" t="e">
        <f>U218+#REF!</f>
        <v>#REF!</v>
      </c>
      <c r="T218" s="246" t="e">
        <f>U218+#REF!</f>
        <v>#REF!</v>
      </c>
      <c r="U218" s="252">
        <v>22500</v>
      </c>
      <c r="V218" s="884">
        <f>W218+X218</f>
        <v>40000</v>
      </c>
      <c r="W218" s="901">
        <v>20000</v>
      </c>
      <c r="X218" s="884">
        <v>20000</v>
      </c>
      <c r="Y218" s="200"/>
      <c r="Z218" s="242"/>
      <c r="AA218" s="838"/>
      <c r="AB218" s="838"/>
      <c r="AC218" s="838"/>
      <c r="AD218" s="838"/>
      <c r="AE218" s="838"/>
      <c r="AF218" s="838"/>
      <c r="AG218" s="838"/>
      <c r="AH218" s="838"/>
      <c r="AI218" s="838"/>
      <c r="AJ218" s="838"/>
      <c r="AK218" s="838"/>
      <c r="AL218" s="838"/>
      <c r="AM218" s="838"/>
      <c r="AN218" s="838"/>
      <c r="AO218" s="838"/>
      <c r="AP218" s="838"/>
      <c r="AQ218" s="838"/>
      <c r="AR218" s="838"/>
      <c r="AS218" s="838"/>
      <c r="AT218" s="838"/>
    </row>
    <row r="219" spans="1:46" ht="13" x14ac:dyDescent="0.3">
      <c r="A219" s="157"/>
      <c r="B219" s="853" t="s">
        <v>147</v>
      </c>
      <c r="C219" s="842"/>
      <c r="D219" s="842"/>
      <c r="E219" s="842"/>
      <c r="F219" s="842"/>
      <c r="G219" s="842"/>
      <c r="H219" s="842"/>
      <c r="I219" s="842"/>
      <c r="J219" s="842"/>
      <c r="K219" s="492" t="s">
        <v>148</v>
      </c>
      <c r="L219" s="235">
        <f t="shared" si="17"/>
        <v>35000</v>
      </c>
      <c r="M219" s="198">
        <v>17500</v>
      </c>
      <c r="N219" s="198">
        <v>17500</v>
      </c>
      <c r="O219" s="391">
        <f t="shared" si="18"/>
        <v>27460.959999999999</v>
      </c>
      <c r="P219" s="383">
        <v>13730.48</v>
      </c>
      <c r="Q219" s="383">
        <v>13730.48</v>
      </c>
      <c r="R219" s="240">
        <f>O219/10/30586</f>
        <v>8.9782776433662462E-2</v>
      </c>
      <c r="S219" s="165" t="e">
        <f>U219+#REF!</f>
        <v>#REF!</v>
      </c>
      <c r="T219" s="391" t="e">
        <f>U219+#REF!</f>
        <v>#REF!</v>
      </c>
      <c r="U219" s="383">
        <v>16480</v>
      </c>
      <c r="V219" s="875">
        <f>W219+X219</f>
        <v>20000</v>
      </c>
      <c r="W219" s="901">
        <v>10000</v>
      </c>
      <c r="X219" s="875">
        <v>10000</v>
      </c>
      <c r="Y219" s="200"/>
      <c r="Z219" s="242"/>
      <c r="AA219" s="838"/>
      <c r="AB219" s="838"/>
      <c r="AC219" s="838"/>
      <c r="AD219" s="838"/>
      <c r="AE219" s="838"/>
      <c r="AF219" s="838"/>
      <c r="AG219" s="838"/>
      <c r="AH219" s="838"/>
      <c r="AI219" s="838"/>
      <c r="AJ219" s="838"/>
      <c r="AK219" s="838"/>
      <c r="AL219" s="838"/>
      <c r="AM219" s="838"/>
      <c r="AN219" s="838"/>
      <c r="AO219" s="838"/>
      <c r="AP219" s="838"/>
      <c r="AQ219" s="838"/>
      <c r="AR219" s="838"/>
      <c r="AS219" s="838"/>
      <c r="AT219" s="838"/>
    </row>
    <row r="220" spans="1:46" ht="13" x14ac:dyDescent="0.3">
      <c r="A220" s="157"/>
      <c r="B220" s="853" t="s">
        <v>149</v>
      </c>
      <c r="C220" s="842"/>
      <c r="D220" s="842"/>
      <c r="E220" s="842"/>
      <c r="F220" s="847"/>
      <c r="G220" s="842"/>
      <c r="H220" s="842"/>
      <c r="I220" s="842"/>
      <c r="J220" s="842"/>
      <c r="K220" s="842"/>
      <c r="L220" s="165">
        <v>240000</v>
      </c>
      <c r="M220" s="198">
        <v>120000</v>
      </c>
      <c r="N220" s="198">
        <v>120000</v>
      </c>
      <c r="O220" s="441">
        <f t="shared" si="18"/>
        <v>230000</v>
      </c>
      <c r="P220" s="442">
        <v>115000</v>
      </c>
      <c r="Q220" s="442">
        <v>115000</v>
      </c>
      <c r="R220" s="240">
        <f>O220/10/30586</f>
        <v>0.75197802916366963</v>
      </c>
      <c r="S220" s="165" t="e">
        <f>U220+#REF!</f>
        <v>#REF!</v>
      </c>
      <c r="T220" s="441" t="e">
        <f>U220+#REF!</f>
        <v>#REF!</v>
      </c>
      <c r="U220" s="442">
        <v>135000</v>
      </c>
      <c r="V220" s="884">
        <f>W220+X220</f>
        <v>240000</v>
      </c>
      <c r="W220" s="901">
        <f t="shared" si="20"/>
        <v>120000</v>
      </c>
      <c r="X220" s="884">
        <v>120000</v>
      </c>
      <c r="Y220" s="200"/>
      <c r="Z220" s="242"/>
      <c r="AA220" s="838"/>
      <c r="AB220" s="838"/>
      <c r="AC220" s="838"/>
      <c r="AD220" s="838"/>
      <c r="AE220" s="838"/>
      <c r="AF220" s="838"/>
      <c r="AG220" s="838"/>
      <c r="AH220" s="838"/>
      <c r="AI220" s="838"/>
      <c r="AJ220" s="838"/>
      <c r="AK220" s="838"/>
      <c r="AL220" s="838"/>
      <c r="AM220" s="838"/>
      <c r="AN220" s="838"/>
      <c r="AO220" s="838"/>
      <c r="AP220" s="838"/>
      <c r="AQ220" s="838"/>
      <c r="AR220" s="838"/>
      <c r="AS220" s="838"/>
      <c r="AT220" s="838"/>
    </row>
    <row r="221" spans="1:46" ht="13" x14ac:dyDescent="0.3">
      <c r="A221" s="157"/>
      <c r="B221" s="887" t="s">
        <v>406</v>
      </c>
      <c r="C221" s="842"/>
      <c r="D221" s="842"/>
      <c r="E221" s="842"/>
      <c r="F221" s="847"/>
      <c r="G221" s="842"/>
      <c r="H221" s="842"/>
      <c r="I221" s="842"/>
      <c r="J221" s="842"/>
      <c r="K221" s="842"/>
      <c r="L221" s="307"/>
      <c r="M221" s="236"/>
      <c r="N221" s="236"/>
      <c r="O221" s="1179"/>
      <c r="P221" s="1180"/>
      <c r="Q221" s="1180"/>
      <c r="R221" s="408"/>
      <c r="S221" s="307"/>
      <c r="T221" s="1179"/>
      <c r="U221" s="1180"/>
      <c r="V221" s="884">
        <f>W221+X221</f>
        <v>150000</v>
      </c>
      <c r="W221" s="474">
        <v>150000</v>
      </c>
      <c r="X221" s="907">
        <v>0</v>
      </c>
      <c r="Y221" s="396"/>
      <c r="Z221" s="242"/>
      <c r="AA221" s="838"/>
      <c r="AB221" s="838"/>
      <c r="AC221" s="838"/>
      <c r="AD221" s="838"/>
      <c r="AE221" s="838"/>
      <c r="AF221" s="838"/>
      <c r="AG221" s="838"/>
      <c r="AH221" s="838"/>
      <c r="AI221" s="838"/>
      <c r="AJ221" s="838"/>
      <c r="AK221" s="838"/>
      <c r="AL221" s="838"/>
      <c r="AM221" s="838"/>
      <c r="AN221" s="838"/>
      <c r="AO221" s="838"/>
      <c r="AP221" s="838"/>
      <c r="AQ221" s="838"/>
      <c r="AR221" s="838"/>
      <c r="AS221" s="838"/>
      <c r="AT221" s="838"/>
    </row>
    <row r="222" spans="1:46" ht="13" x14ac:dyDescent="0.3">
      <c r="A222" s="157"/>
      <c r="B222" s="887" t="s">
        <v>430</v>
      </c>
      <c r="C222" s="842"/>
      <c r="D222" s="842"/>
      <c r="E222" s="842"/>
      <c r="F222" s="847"/>
      <c r="G222" s="842"/>
      <c r="H222" s="842"/>
      <c r="I222" s="842"/>
      <c r="J222" s="842"/>
      <c r="K222" s="842"/>
      <c r="L222" s="307"/>
      <c r="M222" s="236"/>
      <c r="N222" s="236"/>
      <c r="O222" s="1179"/>
      <c r="P222" s="1180"/>
      <c r="Q222" s="1180"/>
      <c r="R222" s="408"/>
      <c r="S222" s="307"/>
      <c r="T222" s="1179"/>
      <c r="U222" s="1180"/>
      <c r="V222" s="884">
        <f>W222+X222</f>
        <v>0</v>
      </c>
      <c r="W222" s="474"/>
      <c r="X222" s="907"/>
      <c r="Y222" s="396"/>
      <c r="Z222" s="242"/>
      <c r="AA222" s="838"/>
      <c r="AB222" s="838"/>
      <c r="AC222" s="838"/>
      <c r="AD222" s="838"/>
      <c r="AE222" s="838"/>
      <c r="AF222" s="838"/>
      <c r="AG222" s="838"/>
      <c r="AH222" s="838"/>
      <c r="AI222" s="838"/>
      <c r="AJ222" s="838"/>
      <c r="AK222" s="838"/>
      <c r="AL222" s="838"/>
      <c r="AM222" s="838"/>
      <c r="AN222" s="838"/>
      <c r="AO222" s="838"/>
      <c r="AP222" s="838"/>
      <c r="AQ222" s="838"/>
      <c r="AR222" s="838"/>
      <c r="AS222" s="838"/>
      <c r="AT222" s="838"/>
    </row>
    <row r="223" spans="1:46" ht="16" thickBot="1" x14ac:dyDescent="0.4">
      <c r="A223" s="181"/>
      <c r="B223" s="887" t="s">
        <v>405</v>
      </c>
      <c r="C223" s="842"/>
      <c r="D223" s="842"/>
      <c r="E223" s="842"/>
      <c r="F223" s="1266" t="s">
        <v>431</v>
      </c>
      <c r="G223" s="1267"/>
      <c r="H223" s="1267"/>
      <c r="I223" s="1267"/>
      <c r="J223" s="1267"/>
      <c r="K223" s="1267"/>
      <c r="L223" s="1268"/>
      <c r="M223" s="1269"/>
      <c r="N223" s="1269"/>
      <c r="O223" s="1268"/>
      <c r="P223" s="1269"/>
      <c r="Q223" s="1269"/>
      <c r="R223" s="1270"/>
      <c r="S223" s="1268"/>
      <c r="T223" s="1268"/>
      <c r="U223" s="1269"/>
      <c r="V223" s="1271">
        <v>0</v>
      </c>
      <c r="W223" s="1272">
        <v>0</v>
      </c>
      <c r="X223" s="1271">
        <v>0</v>
      </c>
      <c r="Y223" s="396"/>
      <c r="Z223" s="242"/>
      <c r="AA223" s="838"/>
      <c r="AB223" s="838"/>
      <c r="AC223" s="838"/>
      <c r="AD223" s="838"/>
      <c r="AE223" s="838"/>
      <c r="AF223" s="838"/>
      <c r="AG223" s="838"/>
      <c r="AH223" s="838"/>
      <c r="AI223" s="838"/>
      <c r="AJ223" s="838"/>
      <c r="AK223" s="838"/>
      <c r="AL223" s="838"/>
      <c r="AM223" s="838"/>
      <c r="AN223" s="838"/>
      <c r="AO223" s="838"/>
      <c r="AP223" s="838"/>
      <c r="AQ223" s="838"/>
      <c r="AR223" s="838"/>
      <c r="AS223" s="838"/>
      <c r="AT223" s="838"/>
    </row>
    <row r="224" spans="1:46" ht="13" x14ac:dyDescent="0.3">
      <c r="A224" s="138"/>
      <c r="B224" s="449" t="s">
        <v>150</v>
      </c>
      <c r="C224" s="841"/>
      <c r="D224" s="841"/>
      <c r="E224" s="841"/>
      <c r="F224" s="841"/>
      <c r="G224" s="849"/>
      <c r="H224" s="849"/>
      <c r="I224" s="849"/>
      <c r="J224" s="493"/>
      <c r="K224" s="493"/>
      <c r="L224" s="369">
        <f>M224+N224</f>
        <v>1835560</v>
      </c>
      <c r="M224" s="219">
        <f>M225+M226+M227+M228</f>
        <v>1835560</v>
      </c>
      <c r="N224" s="219">
        <v>0</v>
      </c>
      <c r="O224" s="494">
        <f t="shared" ref="O224:O232" si="21">P224+Q224</f>
        <v>1150932</v>
      </c>
      <c r="P224" s="495">
        <f>P225+P226+P227</f>
        <v>1150932</v>
      </c>
      <c r="Q224" s="495">
        <v>0</v>
      </c>
      <c r="R224" s="368">
        <f>R225+R226+R227+R228</f>
        <v>0</v>
      </c>
      <c r="S224" s="369">
        <f>R224/R234*100</f>
        <v>0</v>
      </c>
      <c r="T224" s="494" t="e">
        <f>U224+#REF!</f>
        <v>#REF!</v>
      </c>
      <c r="U224" s="495">
        <f>U225+U226+U227</f>
        <v>1298132</v>
      </c>
      <c r="V224" s="219">
        <f>W224+X224</f>
        <v>895000</v>
      </c>
      <c r="W224" s="221">
        <f>W225+W226</f>
        <v>891000</v>
      </c>
      <c r="X224" s="219">
        <f>X231+X232</f>
        <v>4000</v>
      </c>
      <c r="Y224" s="372"/>
      <c r="Z224" s="268"/>
      <c r="AA224" s="838"/>
      <c r="AB224" s="838"/>
      <c r="AC224" s="838"/>
      <c r="AD224" s="838"/>
      <c r="AE224" s="838"/>
      <c r="AF224" s="838"/>
      <c r="AG224" s="838"/>
      <c r="AH224" s="838"/>
      <c r="AI224" s="838"/>
      <c r="AJ224" s="838"/>
      <c r="AK224" s="838"/>
      <c r="AL224" s="838"/>
      <c r="AM224" s="838"/>
      <c r="AN224" s="838"/>
      <c r="AO224" s="838"/>
      <c r="AP224" s="838"/>
      <c r="AQ224" s="838"/>
      <c r="AR224" s="838"/>
      <c r="AS224" s="838"/>
      <c r="AT224" s="838"/>
    </row>
    <row r="225" spans="1:46" ht="13" x14ac:dyDescent="0.3">
      <c r="A225" s="157"/>
      <c r="B225" s="853" t="s">
        <v>151</v>
      </c>
      <c r="C225" s="842"/>
      <c r="D225" s="842"/>
      <c r="E225" s="842"/>
      <c r="F225" s="842"/>
      <c r="G225" s="842"/>
      <c r="H225" s="842"/>
      <c r="I225" s="842"/>
      <c r="J225" s="496"/>
      <c r="K225" s="496"/>
      <c r="L225" s="165">
        <f>M225+N225</f>
        <v>36000</v>
      </c>
      <c r="M225" s="198">
        <v>36000</v>
      </c>
      <c r="N225" s="233">
        <v>0</v>
      </c>
      <c r="O225" s="389">
        <f>P225+Q225</f>
        <v>13160</v>
      </c>
      <c r="P225" s="381">
        <f>420+5000+2750+4990</f>
        <v>13160</v>
      </c>
      <c r="Q225" s="233">
        <v>0</v>
      </c>
      <c r="R225" s="240">
        <v>0</v>
      </c>
      <c r="S225" s="165" t="e">
        <f>U225+#REF!</f>
        <v>#REF!</v>
      </c>
      <c r="T225" s="389" t="e">
        <f>U225+#REF!</f>
        <v>#REF!</v>
      </c>
      <c r="U225" s="381">
        <v>13160</v>
      </c>
      <c r="V225" s="875">
        <f>W225+X225</f>
        <v>15000</v>
      </c>
      <c r="W225" s="901">
        <v>15000</v>
      </c>
      <c r="X225" s="875">
        <v>0</v>
      </c>
      <c r="Y225" s="497"/>
      <c r="Z225" s="1128" t="s">
        <v>375</v>
      </c>
      <c r="AA225" s="1099"/>
      <c r="AB225" s="1099"/>
      <c r="AC225" s="593" t="s">
        <v>366</v>
      </c>
      <c r="AD225" s="593"/>
      <c r="AE225" s="593"/>
      <c r="AF225" s="593"/>
      <c r="AG225" s="593"/>
      <c r="AH225" s="593"/>
      <c r="AI225" s="593"/>
      <c r="AJ225" s="838"/>
      <c r="AK225" s="838"/>
      <c r="AL225" s="838"/>
      <c r="AM225" s="838"/>
      <c r="AN225" s="838"/>
      <c r="AO225" s="838"/>
      <c r="AP225" s="838"/>
      <c r="AQ225" s="838"/>
      <c r="AR225" s="838"/>
      <c r="AS225" s="838"/>
      <c r="AT225" s="838"/>
    </row>
    <row r="226" spans="1:46" ht="13" thickBot="1" x14ac:dyDescent="0.3">
      <c r="A226" s="157"/>
      <c r="B226" s="853" t="s">
        <v>152</v>
      </c>
      <c r="C226" s="842"/>
      <c r="D226" s="842"/>
      <c r="E226" s="842"/>
      <c r="F226" s="842"/>
      <c r="G226" s="842"/>
      <c r="H226" s="842"/>
      <c r="I226" s="842"/>
      <c r="J226" s="496"/>
      <c r="K226" s="496"/>
      <c r="L226" s="165">
        <f>M226+N226</f>
        <v>1762560</v>
      </c>
      <c r="M226" s="198">
        <v>1762560</v>
      </c>
      <c r="N226" s="198">
        <v>0</v>
      </c>
      <c r="O226" s="389">
        <f t="shared" si="21"/>
        <v>1131400</v>
      </c>
      <c r="P226" s="381">
        <v>1131400</v>
      </c>
      <c r="Q226" s="198">
        <v>0</v>
      </c>
      <c r="R226" s="431">
        <v>0</v>
      </c>
      <c r="S226" s="165" t="e">
        <f>U226+#REF!</f>
        <v>#REF!</v>
      </c>
      <c r="T226" s="389" t="e">
        <f>U226+#REF!</f>
        <v>#REF!</v>
      </c>
      <c r="U226" s="381">
        <v>1278600</v>
      </c>
      <c r="V226" s="884">
        <f>W226+X226</f>
        <v>876000</v>
      </c>
      <c r="W226" s="901">
        <v>876000</v>
      </c>
      <c r="X226" s="875">
        <v>0</v>
      </c>
      <c r="Y226" s="200"/>
      <c r="Z226" s="242"/>
      <c r="AA226" s="838"/>
      <c r="AB226" s="838"/>
      <c r="AD226" s="838"/>
      <c r="AE226" s="838"/>
      <c r="AF226" s="838"/>
      <c r="AG226" s="838"/>
      <c r="AH226" s="838"/>
      <c r="AI226" s="838"/>
      <c r="AJ226" s="838"/>
      <c r="AK226" s="838"/>
      <c r="AL226" s="838"/>
      <c r="AM226" s="838"/>
      <c r="AN226" s="838"/>
      <c r="AO226" s="838"/>
      <c r="AP226" s="838"/>
      <c r="AQ226" s="838"/>
      <c r="AR226" s="838"/>
      <c r="AS226" s="838"/>
      <c r="AT226" s="838"/>
    </row>
    <row r="227" spans="1:46" ht="13.5" thickBot="1" x14ac:dyDescent="0.35">
      <c r="A227" s="157"/>
      <c r="B227" s="887" t="s">
        <v>153</v>
      </c>
      <c r="C227" s="885"/>
      <c r="D227" s="885"/>
      <c r="E227" s="885"/>
      <c r="F227" s="885"/>
      <c r="G227" s="885"/>
      <c r="H227" s="885"/>
      <c r="I227" s="885"/>
      <c r="J227" s="498" t="s">
        <v>154</v>
      </c>
      <c r="K227" s="498"/>
      <c r="L227" s="499">
        <f>M227+N227</f>
        <v>27000</v>
      </c>
      <c r="M227" s="500">
        <v>27000</v>
      </c>
      <c r="N227" s="500">
        <v>0</v>
      </c>
      <c r="O227" s="499">
        <f ca="1">O227:P228</f>
        <v>0</v>
      </c>
      <c r="P227" s="500">
        <v>6372</v>
      </c>
      <c r="Q227" s="500">
        <v>0</v>
      </c>
      <c r="R227" s="501">
        <v>0</v>
      </c>
      <c r="S227" s="499" t="e">
        <f>U227+#REF!</f>
        <v>#REF!</v>
      </c>
      <c r="T227" s="499" t="e">
        <f>U227+#REF!</f>
        <v>#REF!</v>
      </c>
      <c r="U227" s="500">
        <v>6372</v>
      </c>
      <c r="V227" s="875">
        <v>0</v>
      </c>
      <c r="W227" s="901">
        <f t="shared" ref="W227:W229" si="22">X227+Y227</f>
        <v>0</v>
      </c>
      <c r="X227" s="875">
        <v>0</v>
      </c>
      <c r="Y227" s="200"/>
      <c r="Z227" s="502"/>
      <c r="AA227" s="838"/>
      <c r="AB227" s="838"/>
      <c r="AC227" s="838"/>
      <c r="AD227" s="838"/>
      <c r="AE227" s="838"/>
      <c r="AF227" s="838"/>
      <c r="AG227" s="838"/>
      <c r="AH227" s="838"/>
      <c r="AI227" s="838"/>
      <c r="AJ227" s="838"/>
      <c r="AK227" s="838"/>
      <c r="AL227" s="838"/>
      <c r="AM227" s="838"/>
      <c r="AN227" s="838"/>
      <c r="AO227" s="838"/>
      <c r="AP227" s="838"/>
      <c r="AQ227" s="838"/>
      <c r="AR227" s="838"/>
      <c r="AS227" s="838"/>
      <c r="AT227" s="838"/>
    </row>
    <row r="228" spans="1:46" ht="13" thickBot="1" x14ac:dyDescent="0.3">
      <c r="A228" s="157"/>
      <c r="B228" s="853" t="s">
        <v>155</v>
      </c>
      <c r="C228" s="842"/>
      <c r="D228" s="842"/>
      <c r="E228" s="842"/>
      <c r="F228" s="842"/>
      <c r="G228" s="842"/>
      <c r="H228" s="842"/>
      <c r="I228" s="842"/>
      <c r="J228" s="496"/>
      <c r="K228" s="496" t="s">
        <v>156</v>
      </c>
      <c r="L228" s="165"/>
      <c r="M228" s="198">
        <v>10000</v>
      </c>
      <c r="N228" s="198"/>
      <c r="O228" s="165">
        <f t="shared" si="21"/>
        <v>0</v>
      </c>
      <c r="P228" s="198"/>
      <c r="Q228" s="198"/>
      <c r="R228" s="431">
        <v>0</v>
      </c>
      <c r="S228" s="165" t="e">
        <f>U228+#REF!</f>
        <v>#REF!</v>
      </c>
      <c r="T228" s="246" t="e">
        <f>U228+#REF!</f>
        <v>#REF!</v>
      </c>
      <c r="U228" s="252"/>
      <c r="V228" s="884">
        <v>0</v>
      </c>
      <c r="W228" s="901">
        <f t="shared" si="22"/>
        <v>0</v>
      </c>
      <c r="X228" s="884">
        <v>0</v>
      </c>
      <c r="Y228" s="200"/>
      <c r="Z228" s="242"/>
      <c r="AA228" s="838"/>
      <c r="AB228" s="838"/>
      <c r="AC228" s="838"/>
      <c r="AD228" s="838"/>
      <c r="AE228" s="838"/>
      <c r="AF228" s="838"/>
      <c r="AG228" s="838"/>
      <c r="AH228" s="838"/>
      <c r="AI228" s="838"/>
      <c r="AJ228" s="838"/>
      <c r="AK228" s="838"/>
      <c r="AL228" s="838"/>
      <c r="AM228" s="838"/>
      <c r="AN228" s="838"/>
      <c r="AO228" s="838"/>
      <c r="AP228" s="838"/>
      <c r="AQ228" s="838"/>
      <c r="AR228" s="838"/>
      <c r="AS228" s="838"/>
      <c r="AT228" s="838"/>
    </row>
    <row r="229" spans="1:46" ht="13" x14ac:dyDescent="0.3">
      <c r="A229" s="157"/>
      <c r="B229" s="503" t="s">
        <v>157</v>
      </c>
      <c r="C229" s="8"/>
      <c r="D229" s="8"/>
      <c r="E229" s="8"/>
      <c r="F229" s="8"/>
      <c r="G229" s="8"/>
      <c r="H229" s="8"/>
      <c r="I229" s="8"/>
      <c r="J229" s="504"/>
      <c r="K229" s="504"/>
      <c r="L229" s="505">
        <f>M229+N229</f>
        <v>120000</v>
      </c>
      <c r="M229" s="251">
        <v>0</v>
      </c>
      <c r="N229" s="855">
        <f>N230+N231</f>
        <v>120000</v>
      </c>
      <c r="O229" s="506">
        <f t="shared" si="21"/>
        <v>7500</v>
      </c>
      <c r="P229" s="381">
        <v>0</v>
      </c>
      <c r="Q229" s="507">
        <f>Q230+Q231</f>
        <v>7500</v>
      </c>
      <c r="R229" s="508">
        <f>R230+R231</f>
        <v>0</v>
      </c>
      <c r="S229" s="369">
        <v>0</v>
      </c>
      <c r="T229" s="506" t="e">
        <f>U229+#REF!</f>
        <v>#REF!</v>
      </c>
      <c r="U229" s="381">
        <v>0</v>
      </c>
      <c r="V229" s="884">
        <v>0</v>
      </c>
      <c r="W229" s="491">
        <f t="shared" si="22"/>
        <v>0</v>
      </c>
      <c r="X229" s="884">
        <v>0</v>
      </c>
      <c r="Y229" s="267"/>
      <c r="Z229" s="268"/>
      <c r="AA229" s="838"/>
      <c r="AB229" s="838"/>
      <c r="AC229" s="838"/>
      <c r="AD229" s="838"/>
      <c r="AE229" s="838"/>
      <c r="AF229" s="838"/>
      <c r="AG229" s="838"/>
      <c r="AH229" s="838"/>
      <c r="AI229" s="838"/>
      <c r="AJ229" s="838"/>
      <c r="AK229" s="838"/>
      <c r="AL229" s="838"/>
      <c r="AM229" s="838"/>
      <c r="AN229" s="838"/>
      <c r="AO229" s="838"/>
      <c r="AP229" s="838"/>
      <c r="AQ229" s="838"/>
      <c r="AR229" s="838"/>
      <c r="AS229" s="838"/>
      <c r="AT229" s="838"/>
    </row>
    <row r="230" spans="1:46" ht="13" thickBot="1" x14ac:dyDescent="0.3">
      <c r="A230" s="157"/>
      <c r="B230" s="509" t="s">
        <v>158</v>
      </c>
      <c r="C230" s="322"/>
      <c r="D230" s="322"/>
      <c r="E230" s="322"/>
      <c r="F230" s="322"/>
      <c r="G230" s="322"/>
      <c r="H230" s="322"/>
      <c r="I230" s="322"/>
      <c r="J230" s="510"/>
      <c r="K230" s="510"/>
      <c r="L230" s="511">
        <f>M230+N230</f>
        <v>120000</v>
      </c>
      <c r="M230" s="251">
        <v>0</v>
      </c>
      <c r="N230" s="252">
        <v>120000</v>
      </c>
      <c r="O230" s="389">
        <f t="shared" si="21"/>
        <v>0</v>
      </c>
      <c r="P230" s="381">
        <v>0</v>
      </c>
      <c r="Q230" s="381">
        <v>0</v>
      </c>
      <c r="R230" s="431">
        <f>O230/12/30586</f>
        <v>0</v>
      </c>
      <c r="S230" s="511" t="e">
        <f>U230+#REF!</f>
        <v>#REF!</v>
      </c>
      <c r="T230" s="389" t="e">
        <f>U230+#REF!</f>
        <v>#REF!</v>
      </c>
      <c r="U230" s="381">
        <v>0</v>
      </c>
      <c r="V230" s="884">
        <v>0</v>
      </c>
      <c r="W230" s="901">
        <v>0</v>
      </c>
      <c r="X230" s="884">
        <v>0</v>
      </c>
      <c r="Y230" s="200"/>
      <c r="Z230" s="242"/>
      <c r="AA230" s="838"/>
      <c r="AB230" s="838"/>
      <c r="AC230" s="838"/>
      <c r="AD230" s="838"/>
      <c r="AE230" s="838"/>
      <c r="AF230" s="838"/>
      <c r="AG230" s="838"/>
      <c r="AH230" s="838"/>
      <c r="AI230" s="838"/>
      <c r="AJ230" s="838"/>
      <c r="AK230" s="838"/>
      <c r="AL230" s="838"/>
      <c r="AM230" s="838"/>
      <c r="AN230" s="838"/>
      <c r="AO230" s="838"/>
      <c r="AP230" s="838"/>
      <c r="AQ230" s="838"/>
      <c r="AR230" s="838"/>
      <c r="AS230" s="838"/>
      <c r="AT230" s="838"/>
    </row>
    <row r="231" spans="1:46" ht="13.5" thickBot="1" x14ac:dyDescent="0.35">
      <c r="A231" s="157"/>
      <c r="B231" s="509" t="s">
        <v>159</v>
      </c>
      <c r="C231" s="322"/>
      <c r="D231" s="322"/>
      <c r="E231" s="512" t="s">
        <v>160</v>
      </c>
      <c r="F231" s="322"/>
      <c r="G231" s="322"/>
      <c r="H231" s="322"/>
      <c r="I231" s="322"/>
      <c r="J231" s="510"/>
      <c r="K231" s="510"/>
      <c r="L231" s="511"/>
      <c r="M231" s="251"/>
      <c r="N231" s="251"/>
      <c r="O231" s="165">
        <f t="shared" si="21"/>
        <v>7500</v>
      </c>
      <c r="P231" s="251"/>
      <c r="Q231" s="251">
        <v>7500</v>
      </c>
      <c r="R231" s="431">
        <v>0</v>
      </c>
      <c r="S231" s="165" t="e">
        <f>U231+#REF!</f>
        <v>#REF!</v>
      </c>
      <c r="T231" s="246" t="e">
        <f>U231+#REF!</f>
        <v>#REF!</v>
      </c>
      <c r="U231" s="252"/>
      <c r="V231" s="884">
        <v>0</v>
      </c>
      <c r="W231" s="901">
        <v>0</v>
      </c>
      <c r="X231" s="884">
        <v>4000</v>
      </c>
      <c r="Y231" s="200"/>
      <c r="Z231" s="242"/>
      <c r="AA231" s="838"/>
      <c r="AB231" s="838"/>
      <c r="AC231" s="838"/>
      <c r="AD231" s="838"/>
      <c r="AE231" s="838"/>
      <c r="AF231" s="838"/>
      <c r="AG231" s="838"/>
      <c r="AH231" s="838"/>
      <c r="AI231" s="838"/>
      <c r="AJ231" s="838"/>
      <c r="AK231" s="838"/>
      <c r="AL231" s="838"/>
      <c r="AM231" s="838"/>
      <c r="AN231" s="838"/>
      <c r="AO231" s="838"/>
      <c r="AP231" s="838"/>
      <c r="AQ231" s="838"/>
      <c r="AR231" s="838"/>
      <c r="AS231" s="838"/>
      <c r="AT231" s="838"/>
    </row>
    <row r="232" spans="1:46" ht="13.5" thickBot="1" x14ac:dyDescent="0.35">
      <c r="A232" s="181"/>
      <c r="B232" s="397" t="s">
        <v>161</v>
      </c>
      <c r="C232" s="513"/>
      <c r="D232" s="513"/>
      <c r="E232" s="343"/>
      <c r="F232" s="343"/>
      <c r="G232" s="343"/>
      <c r="H232" s="343"/>
      <c r="I232" s="343"/>
      <c r="J232" s="496"/>
      <c r="K232" s="514"/>
      <c r="L232" s="511">
        <f>M232+N232</f>
        <v>10000</v>
      </c>
      <c r="M232" s="346">
        <v>0</v>
      </c>
      <c r="N232" s="346">
        <v>10000</v>
      </c>
      <c r="O232" s="511">
        <f t="shared" si="21"/>
        <v>0</v>
      </c>
      <c r="P232" s="346"/>
      <c r="Q232" s="346"/>
      <c r="R232" s="431">
        <f>O232/12/30586</f>
        <v>0</v>
      </c>
      <c r="S232" s="515" t="e">
        <f>U232+#REF!</f>
        <v>#REF!</v>
      </c>
      <c r="T232" s="246" t="e">
        <f>U232+#REF!</f>
        <v>#REF!</v>
      </c>
      <c r="U232" s="347"/>
      <c r="V232" s="1212">
        <f>W232+X232</f>
        <v>0</v>
      </c>
      <c r="W232" s="1223">
        <v>0</v>
      </c>
      <c r="X232" s="1285">
        <v>0</v>
      </c>
      <c r="Y232" s="396"/>
      <c r="Z232" s="1807" t="s">
        <v>336</v>
      </c>
      <c r="AA232" s="1808"/>
      <c r="AB232" s="838"/>
      <c r="AC232" s="838"/>
      <c r="AD232" s="838"/>
      <c r="AE232" s="838"/>
      <c r="AF232" s="838"/>
      <c r="AG232" s="838"/>
      <c r="AH232" s="838"/>
      <c r="AI232" s="838"/>
      <c r="AJ232" s="838"/>
      <c r="AK232" s="838"/>
      <c r="AL232" s="838"/>
      <c r="AM232" s="838"/>
      <c r="AN232" s="838"/>
      <c r="AO232" s="838"/>
      <c r="AP232" s="838"/>
      <c r="AQ232" s="838"/>
      <c r="AR232" s="838"/>
      <c r="AS232" s="838"/>
      <c r="AT232" s="838"/>
    </row>
    <row r="233" spans="1:46" ht="14.5" thickBot="1" x14ac:dyDescent="0.35">
      <c r="A233" s="516"/>
      <c r="B233" s="517" t="s">
        <v>295</v>
      </c>
      <c r="C233" s="518"/>
      <c r="D233" s="518"/>
      <c r="E233" s="519"/>
      <c r="F233" s="519"/>
      <c r="G233" s="519"/>
      <c r="H233" s="519"/>
      <c r="I233" s="519"/>
      <c r="J233" s="520"/>
      <c r="K233" s="521" t="s">
        <v>162</v>
      </c>
      <c r="L233" s="522"/>
      <c r="M233" s="523"/>
      <c r="N233" s="523"/>
      <c r="O233" s="522"/>
      <c r="P233" s="358"/>
      <c r="Q233" s="358"/>
      <c r="R233" s="524"/>
      <c r="S233" s="522"/>
      <c r="T233" s="525"/>
      <c r="U233" s="359"/>
      <c r="V233" s="1283">
        <f>W233+X233</f>
        <v>400000</v>
      </c>
      <c r="W233" s="1284">
        <v>0</v>
      </c>
      <c r="X233" s="1283">
        <v>400000</v>
      </c>
      <c r="Y233" s="526"/>
      <c r="Z233" s="1196" t="s">
        <v>347</v>
      </c>
      <c r="AA233" s="838"/>
      <c r="AB233" s="838"/>
      <c r="AC233" s="838"/>
      <c r="AD233" s="838"/>
      <c r="AE233" s="838"/>
      <c r="AF233" s="838"/>
      <c r="AG233" s="838"/>
      <c r="AH233" s="838"/>
      <c r="AI233" s="838"/>
      <c r="AJ233" s="838"/>
      <c r="AK233" s="838"/>
      <c r="AL233" s="838"/>
      <c r="AM233" s="838"/>
      <c r="AN233" s="838"/>
      <c r="AO233" s="838"/>
      <c r="AP233" s="838"/>
      <c r="AQ233" s="838"/>
      <c r="AR233" s="838"/>
      <c r="AS233" s="838"/>
      <c r="AT233" s="838"/>
    </row>
    <row r="234" spans="1:46" ht="15.75" customHeight="1" thickBot="1" x14ac:dyDescent="0.35">
      <c r="A234" s="181"/>
      <c r="B234" s="527" t="s">
        <v>432</v>
      </c>
      <c r="C234" s="356"/>
      <c r="D234" s="356"/>
      <c r="E234" s="356"/>
      <c r="F234" s="356"/>
      <c r="G234" s="343"/>
      <c r="H234" s="343"/>
      <c r="I234" s="343"/>
      <c r="J234" s="343"/>
      <c r="K234" s="528"/>
      <c r="L234" s="529">
        <f>L87+L98+L103+L147+L174+L199+L214+L217+L224+L229+L232</f>
        <v>12088723.800000001</v>
      </c>
      <c r="M234" s="530">
        <f>M87+M98+M103+M147+M174+M199+M214+M217+M224</f>
        <v>6870835.9000000004</v>
      </c>
      <c r="N234" s="530">
        <f>N87+N98+N103+N147+N174+N199+N214+N217+N224+N229+N232</f>
        <v>5217887.9000000004</v>
      </c>
      <c r="O234" s="529">
        <f>O87+O98+O103+O147+O174+O199+O214+O217+O224+O229+O232</f>
        <v>9472824.6400000006</v>
      </c>
      <c r="P234" s="531">
        <f>P87+P98+P103+P147+P174+P199+P214+P217+P224+P232</f>
        <v>5352011.9400000004</v>
      </c>
      <c r="Q234" s="532">
        <f>Q87+Q98+Q103+Q147+Q174+Q199+Q214+Q217+Q229+Q232</f>
        <v>4120812.7</v>
      </c>
      <c r="R234" s="533">
        <f>R87+R98+R103+R147+R174+R199+R214+R217+R224+R229</f>
        <v>25.881006473549995</v>
      </c>
      <c r="S234" s="533" t="e">
        <f>S87+S98+S103+S147+S174+S199+S214+S217+S224+S229+S232</f>
        <v>#REF!</v>
      </c>
      <c r="T234" s="534" t="e">
        <f>T87+T98+T103+T147+T174+T199+T214+T217+T224+T229+T232</f>
        <v>#REF!</v>
      </c>
      <c r="U234" s="535">
        <f>U87+U98+U103+U147+U174+U199+U214+U217+U224+U232</f>
        <v>6268358</v>
      </c>
      <c r="V234" s="975">
        <f>V87+V98+V103+V147+V174+V199+V214+V217+V224+V229+V232+V233</f>
        <v>13191526.030000001</v>
      </c>
      <c r="W234" s="975">
        <f>W87+W98+W103+W147+W174+W199+W214+W217+W224+W229+W232+W233</f>
        <v>7042177.0150000006</v>
      </c>
      <c r="X234" s="975">
        <f>X87+X98+X103+X147+X174+X199+X214+X217+X224+X229+X232+X233</f>
        <v>6149349.0150000006</v>
      </c>
      <c r="Y234" s="536">
        <f>Y87+Y98+Y103+Y147+Y174+Y199+Y214+Y217+Y229+Y232</f>
        <v>0</v>
      </c>
      <c r="Z234" s="997"/>
      <c r="AA234" s="435"/>
      <c r="AB234" s="838"/>
      <c r="AC234" s="838"/>
      <c r="AD234" s="838"/>
      <c r="AE234" s="838"/>
      <c r="AF234" s="838"/>
      <c r="AG234" s="838"/>
      <c r="AH234" s="838"/>
      <c r="AI234" s="838"/>
      <c r="AJ234" s="838"/>
      <c r="AK234" s="838"/>
      <c r="AL234" s="838"/>
      <c r="AM234" s="838"/>
      <c r="AN234" s="838"/>
      <c r="AO234" s="838"/>
      <c r="AP234" s="838"/>
      <c r="AQ234" s="838"/>
      <c r="AR234" s="838"/>
      <c r="AS234" s="838"/>
      <c r="AT234" s="838"/>
    </row>
    <row r="235" spans="1:46" ht="13.5" thickBot="1" x14ac:dyDescent="0.35">
      <c r="A235" s="838"/>
      <c r="B235" s="104"/>
      <c r="C235" s="104"/>
      <c r="D235" s="104"/>
      <c r="E235" s="104"/>
      <c r="F235" s="104"/>
      <c r="G235" s="104"/>
      <c r="H235" s="104"/>
      <c r="I235" s="104"/>
      <c r="J235" s="537" t="s">
        <v>294</v>
      </c>
      <c r="K235" s="538" t="s">
        <v>163</v>
      </c>
      <c r="L235" s="539">
        <f t="shared" ref="L235:Q235" si="23">L83-L234</f>
        <v>-3928.8000000007451</v>
      </c>
      <c r="M235" s="539">
        <f t="shared" si="23"/>
        <v>-77880.900000000373</v>
      </c>
      <c r="N235" s="539">
        <f t="shared" si="23"/>
        <v>73952.099999999627</v>
      </c>
      <c r="O235" s="539">
        <f t="shared" si="23"/>
        <v>5272.7399999983609</v>
      </c>
      <c r="P235" s="539">
        <f t="shared" si="23"/>
        <v>-25180.920000000857</v>
      </c>
      <c r="Q235" s="539">
        <f t="shared" si="23"/>
        <v>30453.659999999683</v>
      </c>
      <c r="R235" s="51"/>
      <c r="S235" s="51"/>
      <c r="T235" s="540" t="e">
        <f t="shared" ref="T235:Y235" si="24">T83-T234</f>
        <v>#REF!</v>
      </c>
      <c r="U235" s="541">
        <f t="shared" si="24"/>
        <v>113890.29000000004</v>
      </c>
      <c r="V235" s="889">
        <f t="shared" si="24"/>
        <v>-1216261.7700000014</v>
      </c>
      <c r="W235" s="976">
        <f t="shared" si="24"/>
        <v>-652745.5150000006</v>
      </c>
      <c r="X235" s="889">
        <f t="shared" si="24"/>
        <v>-563516.25500000082</v>
      </c>
      <c r="Y235" s="889">
        <f t="shared" si="24"/>
        <v>5255096</v>
      </c>
      <c r="Z235" s="838"/>
      <c r="AA235" s="838"/>
      <c r="AB235" s="838"/>
      <c r="AC235" s="838"/>
      <c r="AD235" s="838"/>
      <c r="AE235" s="838"/>
      <c r="AF235" s="838"/>
      <c r="AG235" s="838"/>
      <c r="AH235" s="838"/>
      <c r="AI235" s="838"/>
      <c r="AJ235" s="838"/>
      <c r="AK235" s="838"/>
      <c r="AL235" s="838"/>
      <c r="AM235" s="838"/>
      <c r="AN235" s="838"/>
      <c r="AO235" s="838"/>
      <c r="AP235" s="838"/>
      <c r="AQ235" s="838"/>
      <c r="AR235" s="838"/>
      <c r="AS235" s="838"/>
      <c r="AT235" s="838"/>
    </row>
    <row r="236" spans="1:46" ht="27" customHeight="1" x14ac:dyDescent="0.35">
      <c r="A236" s="838"/>
      <c r="B236" s="897"/>
      <c r="C236" s="850"/>
      <c r="D236" s="850"/>
      <c r="E236" s="850"/>
      <c r="F236" s="850"/>
      <c r="G236" s="850"/>
      <c r="H236" s="850"/>
      <c r="I236" s="850"/>
      <c r="J236" s="850"/>
      <c r="K236" s="850"/>
      <c r="L236" s="856"/>
      <c r="M236" s="856"/>
      <c r="N236" s="856"/>
      <c r="O236" s="838"/>
      <c r="P236" s="838"/>
      <c r="Q236" s="838"/>
      <c r="R236" s="838"/>
      <c r="S236" s="838"/>
      <c r="T236" s="860"/>
      <c r="U236" s="839"/>
      <c r="V236" s="838"/>
      <c r="W236" s="1809"/>
      <c r="X236" s="1810"/>
      <c r="Y236" s="836"/>
      <c r="Z236" s="893"/>
      <c r="AA236" s="838"/>
      <c r="AB236" s="838"/>
      <c r="AC236" s="838"/>
      <c r="AD236" s="838"/>
      <c r="AE236" s="838"/>
      <c r="AF236" s="838"/>
      <c r="AG236" s="838"/>
      <c r="AH236" s="838"/>
      <c r="AI236" s="838"/>
      <c r="AJ236" s="838"/>
      <c r="AK236" s="838"/>
      <c r="AL236" s="838"/>
      <c r="AM236" s="838"/>
      <c r="AN236" s="838"/>
      <c r="AO236" s="838"/>
      <c r="AP236" s="838"/>
      <c r="AQ236" s="838"/>
      <c r="AR236" s="838"/>
      <c r="AS236" s="838"/>
      <c r="AT236" s="838"/>
    </row>
    <row r="237" spans="1:46" ht="15.5" x14ac:dyDescent="0.35">
      <c r="A237" s="838"/>
      <c r="B237" s="850"/>
      <c r="C237" s="866"/>
      <c r="D237" s="860"/>
      <c r="E237" s="860"/>
      <c r="F237" s="860"/>
      <c r="G237" s="860"/>
      <c r="H237" s="850"/>
      <c r="I237" s="850"/>
      <c r="J237" s="850"/>
      <c r="K237" s="850"/>
      <c r="L237" s="856"/>
      <c r="M237" s="856"/>
      <c r="N237" s="856"/>
      <c r="O237" s="877"/>
      <c r="P237" s="877"/>
      <c r="Q237" s="877"/>
      <c r="R237" s="838"/>
      <c r="S237" s="838"/>
      <c r="T237" s="838"/>
      <c r="U237" s="838"/>
      <c r="V237" s="838"/>
      <c r="W237" s="1805"/>
      <c r="X237" s="1811"/>
      <c r="Z237" s="838"/>
      <c r="AA237" s="838"/>
      <c r="AB237" s="838"/>
      <c r="AC237" s="838"/>
      <c r="AD237" s="838"/>
      <c r="AE237" s="838"/>
      <c r="AF237" s="838"/>
      <c r="AG237" s="838"/>
      <c r="AH237" s="838"/>
      <c r="AI237" s="838"/>
      <c r="AJ237" s="838"/>
      <c r="AK237" s="838"/>
      <c r="AL237" s="838"/>
      <c r="AM237" s="838"/>
      <c r="AN237" s="838"/>
      <c r="AO237" s="838"/>
      <c r="AP237" s="838"/>
      <c r="AQ237" s="838"/>
      <c r="AR237" s="838"/>
      <c r="AS237" s="838"/>
      <c r="AT237" s="838"/>
    </row>
    <row r="238" spans="1:46" ht="15.5" x14ac:dyDescent="0.35">
      <c r="A238" s="838"/>
      <c r="B238" s="20" t="s">
        <v>287</v>
      </c>
      <c r="C238" s="543"/>
      <c r="D238" s="543"/>
      <c r="E238" s="543"/>
      <c r="F238" s="543"/>
      <c r="G238" s="543"/>
      <c r="H238" s="543"/>
      <c r="I238" s="543"/>
      <c r="J238" s="543"/>
      <c r="K238" s="543"/>
      <c r="L238" s="544"/>
      <c r="M238" s="856"/>
      <c r="N238" s="546"/>
      <c r="P238" s="838"/>
      <c r="T238" s="18" t="s">
        <v>164</v>
      </c>
      <c r="U238" s="19" t="s">
        <v>165</v>
      </c>
      <c r="V238" s="838"/>
      <c r="W238" s="1805"/>
      <c r="X238" s="1811"/>
      <c r="Z238" s="893"/>
      <c r="AA238" s="838"/>
      <c r="AB238" s="838"/>
      <c r="AC238" s="838"/>
      <c r="AD238" s="838"/>
      <c r="AE238" s="838"/>
      <c r="AF238" s="838"/>
      <c r="AG238" s="838"/>
      <c r="AH238" s="838"/>
      <c r="AI238" s="838"/>
      <c r="AJ238" s="838"/>
      <c r="AK238" s="838"/>
      <c r="AL238" s="838"/>
      <c r="AM238" s="838"/>
      <c r="AN238" s="838"/>
      <c r="AO238" s="838"/>
      <c r="AP238" s="838"/>
      <c r="AQ238" s="838"/>
      <c r="AR238" s="838"/>
      <c r="AS238" s="838"/>
      <c r="AT238" s="838"/>
    </row>
    <row r="239" spans="1:46" ht="15.5" x14ac:dyDescent="0.35">
      <c r="A239" s="838"/>
      <c r="B239" s="104"/>
      <c r="C239" s="547" t="s">
        <v>166</v>
      </c>
      <c r="D239" s="22"/>
      <c r="E239" s="22"/>
      <c r="F239" s="22"/>
      <c r="G239" s="22"/>
      <c r="H239" s="543"/>
      <c r="I239" s="543"/>
      <c r="J239" s="543"/>
      <c r="K239" s="543"/>
      <c r="L239" s="544"/>
      <c r="M239" s="544"/>
      <c r="N239" s="544"/>
      <c r="O239" s="548"/>
      <c r="P239" s="548"/>
      <c r="Q239" s="548"/>
      <c r="R239" s="10"/>
      <c r="S239" s="10"/>
      <c r="T239" s="10"/>
      <c r="U239" s="10"/>
      <c r="V239" s="838"/>
      <c r="W239" s="877"/>
      <c r="Z239" s="893"/>
      <c r="AA239" s="838"/>
      <c r="AB239" s="838"/>
      <c r="AC239" s="838"/>
      <c r="AD239" s="838"/>
      <c r="AE239" s="838"/>
      <c r="AF239" s="838"/>
      <c r="AG239" s="838"/>
      <c r="AH239" s="838"/>
      <c r="AI239" s="838"/>
      <c r="AJ239" s="838"/>
      <c r="AK239" s="838"/>
      <c r="AL239" s="838"/>
      <c r="AM239" s="838"/>
      <c r="AN239" s="838"/>
      <c r="AO239" s="838"/>
      <c r="AP239" s="838"/>
      <c r="AQ239" s="838"/>
      <c r="AR239" s="838"/>
      <c r="AS239" s="838"/>
      <c r="AT239" s="838"/>
    </row>
    <row r="240" spans="1:46" ht="13" x14ac:dyDescent="0.3">
      <c r="A240" s="839"/>
      <c r="B240" s="104"/>
      <c r="C240" s="860"/>
      <c r="D240" s="860"/>
      <c r="E240" s="860"/>
      <c r="F240" s="860"/>
      <c r="G240" s="860"/>
      <c r="H240" s="104"/>
      <c r="I240" s="104"/>
      <c r="J240" s="104"/>
      <c r="K240" s="104"/>
      <c r="L240" s="546"/>
      <c r="M240" s="546"/>
      <c r="N240" s="546"/>
      <c r="Q240" s="36"/>
      <c r="T240" s="549"/>
      <c r="Z240" s="838"/>
      <c r="AA240" s="838"/>
      <c r="AB240" s="838"/>
      <c r="AC240" s="838"/>
      <c r="AD240" s="838"/>
      <c r="AE240" s="838"/>
      <c r="AF240" s="838"/>
      <c r="AG240" s="838"/>
      <c r="AH240" s="838"/>
      <c r="AI240" s="838"/>
      <c r="AJ240" s="838"/>
      <c r="AK240" s="838"/>
      <c r="AL240" s="838"/>
      <c r="AM240" s="838"/>
      <c r="AN240" s="838"/>
      <c r="AO240" s="838"/>
      <c r="AP240" s="838"/>
      <c r="AQ240" s="838"/>
      <c r="AR240" s="838"/>
      <c r="AS240" s="838"/>
      <c r="AT240" s="838"/>
    </row>
    <row r="241" spans="1:62" ht="13" x14ac:dyDescent="0.3">
      <c r="A241" s="838"/>
      <c r="B241" s="1273" t="s">
        <v>292</v>
      </c>
      <c r="C241" s="893"/>
      <c r="D241" s="893"/>
      <c r="E241" s="893"/>
      <c r="F241" s="893"/>
      <c r="G241" s="893"/>
      <c r="H241" s="893"/>
      <c r="I241" s="1274">
        <f>J244+J243</f>
        <v>592500</v>
      </c>
      <c r="J241" s="893" t="s">
        <v>167</v>
      </c>
      <c r="K241" s="1017"/>
      <c r="L241" s="893"/>
      <c r="M241" s="1095"/>
      <c r="N241" s="935"/>
      <c r="O241" s="935"/>
      <c r="P241" s="935"/>
      <c r="Q241" s="1095"/>
      <c r="R241" s="1095"/>
      <c r="S241" s="1017"/>
      <c r="T241" s="1095"/>
      <c r="U241" s="1095"/>
      <c r="V241" s="1095"/>
      <c r="W241" s="550"/>
      <c r="X241" s="550"/>
      <c r="Y241" s="551"/>
      <c r="Z241" s="838"/>
      <c r="AA241" s="838"/>
      <c r="AB241" s="838"/>
      <c r="AC241" s="838"/>
      <c r="AD241" s="838"/>
      <c r="AE241" s="838"/>
      <c r="AF241" s="838"/>
      <c r="AG241" s="838"/>
      <c r="AH241" s="838"/>
      <c r="AI241" s="838"/>
      <c r="AJ241" s="838"/>
      <c r="AK241" s="838"/>
      <c r="AL241" s="838"/>
      <c r="AM241" s="838"/>
      <c r="AN241" s="838"/>
      <c r="AO241" s="838"/>
      <c r="AP241" s="838"/>
      <c r="AQ241" s="838"/>
      <c r="AR241" s="838"/>
      <c r="AS241" s="838"/>
      <c r="AT241" s="838"/>
    </row>
    <row r="242" spans="1:62" ht="13" x14ac:dyDescent="0.3">
      <c r="A242" s="838"/>
      <c r="B242" s="43" t="s">
        <v>19</v>
      </c>
      <c r="C242" s="893"/>
      <c r="D242" s="893"/>
      <c r="E242" s="893"/>
      <c r="F242" s="893"/>
      <c r="G242" s="893"/>
      <c r="H242" s="893"/>
      <c r="I242" s="893"/>
      <c r="J242" s="893"/>
      <c r="K242" s="1095"/>
      <c r="L242" s="935"/>
      <c r="M242" s="935"/>
      <c r="N242" s="935"/>
      <c r="O242" s="1095"/>
      <c r="P242" s="1095"/>
      <c r="Q242" s="1017"/>
      <c r="R242" s="1095"/>
      <c r="S242" s="1095"/>
      <c r="T242" s="1095"/>
      <c r="U242" s="1095"/>
      <c r="V242" s="1095"/>
      <c r="W242" s="26"/>
      <c r="X242" s="26"/>
      <c r="Y242" s="26"/>
      <c r="Z242" s="838"/>
      <c r="AA242" s="838"/>
      <c r="AB242" s="838"/>
      <c r="AC242" s="838"/>
      <c r="AD242" s="838"/>
      <c r="AE242" s="838"/>
      <c r="AF242" s="838"/>
      <c r="AG242" s="838"/>
      <c r="AH242" s="838"/>
      <c r="AI242" s="838"/>
      <c r="AJ242" s="838"/>
      <c r="AK242" s="838"/>
      <c r="AL242" s="838"/>
      <c r="AM242" s="838"/>
      <c r="AN242" s="838"/>
      <c r="AO242" s="838"/>
      <c r="AP242" s="838"/>
      <c r="AQ242" s="838"/>
      <c r="AR242" s="838"/>
      <c r="AS242" s="838"/>
      <c r="AT242" s="838"/>
    </row>
    <row r="243" spans="1:62" ht="13" x14ac:dyDescent="0.3">
      <c r="A243" s="860"/>
      <c r="B243" s="893" t="s">
        <v>168</v>
      </c>
      <c r="C243" s="893"/>
      <c r="D243" s="893"/>
      <c r="E243" s="1275"/>
      <c r="F243" s="893"/>
      <c r="G243" s="893"/>
      <c r="H243" s="893"/>
      <c r="I243" s="1095"/>
      <c r="J243" s="1095">
        <v>316162</v>
      </c>
      <c r="K243" s="1095"/>
      <c r="L243" s="935"/>
      <c r="M243" s="935"/>
      <c r="N243" s="935"/>
      <c r="O243" s="1095"/>
      <c r="P243" s="1095"/>
      <c r="Q243" s="1017"/>
      <c r="R243" s="1095"/>
      <c r="S243" s="1095"/>
      <c r="T243" s="1095"/>
      <c r="U243" s="1095"/>
      <c r="V243" s="1095" t="s">
        <v>167</v>
      </c>
      <c r="W243" s="639" t="s">
        <v>360</v>
      </c>
      <c r="X243" s="26"/>
      <c r="Y243" s="26"/>
      <c r="Z243" s="838"/>
      <c r="AA243" s="838"/>
      <c r="AB243" s="838"/>
      <c r="AC243" s="847"/>
      <c r="AD243" s="32"/>
      <c r="AE243" s="838"/>
      <c r="AF243" s="838"/>
      <c r="AG243" s="838"/>
      <c r="AH243" s="838"/>
      <c r="AI243" s="838"/>
      <c r="AJ243" s="838"/>
      <c r="AK243" s="838"/>
      <c r="AL243" s="838"/>
      <c r="AM243" s="838"/>
      <c r="AN243" s="838"/>
      <c r="AO243" s="838"/>
      <c r="AP243" s="838"/>
      <c r="AQ243" s="838"/>
      <c r="AR243" s="838"/>
      <c r="AS243" s="838"/>
      <c r="AT243" s="838"/>
    </row>
    <row r="244" spans="1:62" ht="13" x14ac:dyDescent="0.3">
      <c r="A244" s="860"/>
      <c r="B244" s="893" t="s">
        <v>169</v>
      </c>
      <c r="C244" s="893"/>
      <c r="D244" s="893"/>
      <c r="E244" s="1276"/>
      <c r="F244" s="1095"/>
      <c r="G244" s="893"/>
      <c r="H244" s="893"/>
      <c r="I244" s="893"/>
      <c r="J244" s="1095">
        <v>276338</v>
      </c>
      <c r="K244" s="1095" t="s">
        <v>167</v>
      </c>
      <c r="L244" s="1095"/>
      <c r="M244" s="1017"/>
      <c r="N244" s="1277"/>
      <c r="O244" s="1017"/>
      <c r="P244" s="1017"/>
      <c r="Q244" s="1095"/>
      <c r="R244" s="1095"/>
      <c r="S244" s="1095"/>
      <c r="T244" s="1095"/>
      <c r="U244" s="1095"/>
      <c r="V244" s="1095"/>
      <c r="W244" s="26"/>
      <c r="X244" s="26"/>
      <c r="Y244" s="26"/>
      <c r="AC244" s="847"/>
      <c r="AD244" s="6" t="s">
        <v>170</v>
      </c>
      <c r="AE244" s="203" t="s">
        <v>171</v>
      </c>
    </row>
    <row r="245" spans="1:62" ht="13" x14ac:dyDescent="0.3">
      <c r="A245" s="980" t="s">
        <v>293</v>
      </c>
      <c r="B245" s="1278" t="s">
        <v>172</v>
      </c>
      <c r="C245" s="1278"/>
      <c r="D245" s="1278"/>
      <c r="E245" s="1279"/>
      <c r="F245" s="1278"/>
      <c r="G245" s="1278"/>
      <c r="H245" s="882"/>
      <c r="I245" s="882" t="s">
        <v>281</v>
      </c>
      <c r="J245" s="1280">
        <v>45000</v>
      </c>
      <c r="K245" s="860" t="s">
        <v>167</v>
      </c>
      <c r="L245" s="550"/>
      <c r="M245" s="1281"/>
      <c r="N245" s="1282"/>
      <c r="O245" s="1281"/>
      <c r="P245" s="1281"/>
      <c r="Q245" s="550"/>
      <c r="R245" s="550"/>
      <c r="S245" s="550"/>
      <c r="T245" s="550"/>
      <c r="U245" s="550"/>
      <c r="V245" s="550"/>
      <c r="W245" s="26"/>
      <c r="X245" s="26"/>
      <c r="Y245" s="26"/>
      <c r="AC245" s="847"/>
      <c r="AD245" s="32" t="s">
        <v>173</v>
      </c>
      <c r="AE245" s="203" t="s">
        <v>174</v>
      </c>
    </row>
    <row r="246" spans="1:62" ht="13" x14ac:dyDescent="0.3">
      <c r="A246" s="838"/>
      <c r="B246" s="969"/>
      <c r="C246" s="969"/>
      <c r="D246" s="969"/>
      <c r="E246" s="969"/>
      <c r="F246" s="969"/>
      <c r="G246" s="969"/>
      <c r="H246" s="554"/>
      <c r="I246" s="554"/>
      <c r="J246" s="18"/>
      <c r="K246" s="18"/>
      <c r="L246" s="552"/>
      <c r="M246" s="552"/>
      <c r="N246" s="553"/>
      <c r="O246" s="552"/>
      <c r="P246" s="552"/>
      <c r="Q246" s="26"/>
      <c r="R246" s="26"/>
      <c r="S246" s="26"/>
      <c r="T246" s="26"/>
      <c r="U246" s="552"/>
      <c r="V246" s="26"/>
      <c r="W246" s="26"/>
      <c r="X246" s="552"/>
      <c r="Y246" s="26"/>
      <c r="AC246" s="847"/>
      <c r="AD246" t="s">
        <v>175</v>
      </c>
      <c r="AE246" t="s">
        <v>176</v>
      </c>
    </row>
    <row r="247" spans="1:62" ht="13" x14ac:dyDescent="0.3">
      <c r="A247" s="838"/>
      <c r="B247" s="969"/>
      <c r="C247" s="970"/>
      <c r="D247" s="970"/>
      <c r="E247" s="970"/>
      <c r="F247" s="970"/>
      <c r="G247" s="970"/>
      <c r="H247" s="71"/>
      <c r="I247" s="554"/>
      <c r="J247" s="18"/>
      <c r="K247" s="18"/>
      <c r="L247" s="552"/>
      <c r="M247" s="552"/>
      <c r="N247" s="553"/>
      <c r="O247" s="552"/>
      <c r="P247" s="552"/>
      <c r="Q247" s="26"/>
      <c r="R247" s="26"/>
      <c r="S247" s="26"/>
      <c r="T247" s="26"/>
      <c r="U247" s="552"/>
      <c r="V247" s="18"/>
      <c r="W247" s="26"/>
      <c r="X247" s="552"/>
      <c r="Y247" s="26"/>
      <c r="AC247" s="847"/>
    </row>
    <row r="248" spans="1:62" ht="13" x14ac:dyDescent="0.3">
      <c r="A248" s="838"/>
      <c r="B248" s="969"/>
      <c r="C248" s="970"/>
      <c r="D248" s="970"/>
      <c r="E248" s="970"/>
      <c r="F248" s="970"/>
      <c r="G248" s="970"/>
      <c r="H248" s="71"/>
      <c r="I248" s="554"/>
      <c r="J248" s="18"/>
      <c r="K248" s="18"/>
      <c r="L248" s="552"/>
      <c r="M248" s="552"/>
      <c r="N248" s="553"/>
      <c r="O248" s="552"/>
      <c r="P248" s="552"/>
      <c r="Q248" s="26"/>
      <c r="R248" s="26"/>
      <c r="S248" s="26"/>
      <c r="T248" s="26"/>
      <c r="U248" s="552"/>
      <c r="V248" s="18"/>
      <c r="W248" s="26"/>
      <c r="X248" s="552"/>
      <c r="Y248" s="26"/>
      <c r="AC248" s="847"/>
    </row>
    <row r="249" spans="1:62" ht="13" x14ac:dyDescent="0.3">
      <c r="A249" s="838"/>
      <c r="B249" s="969"/>
      <c r="C249" s="969"/>
      <c r="D249" s="969"/>
      <c r="E249" s="969"/>
      <c r="F249" s="970"/>
      <c r="G249" s="970"/>
      <c r="H249" s="555"/>
      <c r="I249" s="71"/>
      <c r="J249" s="18"/>
      <c r="K249" s="18"/>
      <c r="L249" s="552"/>
      <c r="M249" s="552"/>
      <c r="N249" s="553"/>
      <c r="O249" s="552"/>
      <c r="P249" s="552"/>
      <c r="Q249" s="26"/>
      <c r="R249" s="26"/>
      <c r="S249" s="26"/>
      <c r="T249" s="26"/>
      <c r="U249" s="552"/>
      <c r="V249" s="18"/>
      <c r="W249" s="26"/>
      <c r="X249" s="552"/>
      <c r="Y249" s="26"/>
      <c r="AC249" s="847"/>
    </row>
    <row r="250" spans="1:62" ht="13.5" thickBot="1" x14ac:dyDescent="0.35">
      <c r="A250" s="838"/>
      <c r="B250" s="882"/>
      <c r="C250" s="893"/>
      <c r="D250" s="893"/>
      <c r="E250" s="893"/>
      <c r="F250" s="893"/>
      <c r="G250" s="893"/>
      <c r="H250" s="893"/>
      <c r="I250" s="882"/>
      <c r="J250" s="860"/>
      <c r="K250" s="26"/>
      <c r="L250" s="552"/>
      <c r="M250" s="552"/>
      <c r="N250" s="553"/>
      <c r="O250" s="552"/>
      <c r="P250" s="552"/>
      <c r="Q250" s="26"/>
      <c r="R250" s="26"/>
      <c r="S250" s="26"/>
      <c r="T250" s="26"/>
      <c r="U250" s="552"/>
      <c r="V250" s="26"/>
      <c r="W250" s="26"/>
      <c r="X250" s="552"/>
      <c r="Y250" s="26"/>
      <c r="AC250" s="847"/>
    </row>
    <row r="251" spans="1:62" ht="13.5" thickBot="1" x14ac:dyDescent="0.35">
      <c r="B251" s="882"/>
      <c r="C251" s="882"/>
      <c r="D251" s="882"/>
      <c r="E251" s="882"/>
      <c r="F251" s="893"/>
      <c r="G251" s="893"/>
      <c r="H251" s="935"/>
      <c r="I251" s="893"/>
      <c r="J251" s="860"/>
      <c r="K251" s="26"/>
      <c r="L251" s="552"/>
      <c r="M251" s="552"/>
      <c r="N251" s="553"/>
      <c r="O251" s="552"/>
      <c r="P251" s="552"/>
      <c r="Q251" s="26"/>
      <c r="R251" s="26"/>
      <c r="S251" s="26"/>
      <c r="T251" s="556"/>
      <c r="U251" s="556"/>
      <c r="V251" s="942" t="s">
        <v>284</v>
      </c>
      <c r="W251" s="944" t="s">
        <v>177</v>
      </c>
      <c r="X251" s="943" t="s">
        <v>178</v>
      </c>
      <c r="Y251" s="26"/>
      <c r="AC251" s="838"/>
      <c r="AD251" s="32" t="s">
        <v>179</v>
      </c>
    </row>
    <row r="252" spans="1:62" ht="13.5" thickBot="1" x14ac:dyDescent="0.35">
      <c r="B252" s="71"/>
      <c r="C252" s="71"/>
      <c r="D252" s="71"/>
      <c r="E252" s="886"/>
      <c r="F252" s="981" t="s">
        <v>180</v>
      </c>
      <c r="G252" s="987">
        <v>678300</v>
      </c>
      <c r="H252" s="886" t="s">
        <v>167</v>
      </c>
      <c r="I252" s="71"/>
      <c r="J252" s="104"/>
      <c r="K252" s="104"/>
      <c r="L252" s="557">
        <v>868830</v>
      </c>
      <c r="M252" s="557">
        <v>435232</v>
      </c>
      <c r="N252" s="557">
        <v>433498</v>
      </c>
      <c r="O252" s="557">
        <f>P252+Q252</f>
        <v>708805.70000000007</v>
      </c>
      <c r="P252" s="557">
        <f>310468.3+52471.22</f>
        <v>362939.52</v>
      </c>
      <c r="Q252" s="557">
        <f>293394.96+52471.22</f>
        <v>345866.18000000005</v>
      </c>
      <c r="R252" s="557">
        <v>0</v>
      </c>
      <c r="S252" s="557">
        <v>0</v>
      </c>
      <c r="T252" s="558" t="e">
        <f>U252+#REF!</f>
        <v>#REF!</v>
      </c>
      <c r="U252" s="558">
        <f>372561.96+61932.8</f>
        <v>434494.76</v>
      </c>
      <c r="V252" s="559">
        <f>W252+X252</f>
        <v>637500</v>
      </c>
      <c r="W252" s="929">
        <f>J243+J245/2</f>
        <v>338662</v>
      </c>
      <c r="X252" s="932">
        <f>J244+J245/2</f>
        <v>298838</v>
      </c>
      <c r="Y252" s="560"/>
      <c r="Z252" s="561"/>
      <c r="AA252" s="1188"/>
      <c r="AB252" s="1188"/>
      <c r="AC252" s="838"/>
      <c r="AD252" s="32"/>
    </row>
    <row r="253" spans="1:62" ht="13" x14ac:dyDescent="0.3">
      <c r="A253" s="562"/>
      <c r="B253" s="563"/>
      <c r="C253" s="564"/>
      <c r="D253" s="564"/>
      <c r="E253" s="564" t="s">
        <v>44</v>
      </c>
      <c r="F253" s="564"/>
      <c r="G253" s="564"/>
      <c r="H253" s="564"/>
      <c r="I253" s="564"/>
      <c r="J253" s="564"/>
      <c r="K253" s="565"/>
      <c r="L253" s="566" t="s">
        <v>45</v>
      </c>
      <c r="M253" s="557" t="s">
        <v>46</v>
      </c>
      <c r="N253" s="566" t="s">
        <v>46</v>
      </c>
      <c r="O253" s="566" t="s">
        <v>45</v>
      </c>
      <c r="P253" s="557" t="s">
        <v>46</v>
      </c>
      <c r="Q253" s="566" t="s">
        <v>46</v>
      </c>
      <c r="R253" s="126"/>
      <c r="S253" s="126"/>
      <c r="T253" s="566" t="s">
        <v>45</v>
      </c>
      <c r="U253" s="557" t="s">
        <v>46</v>
      </c>
      <c r="V253" s="990" t="s">
        <v>45</v>
      </c>
      <c r="W253" s="930" t="s">
        <v>47</v>
      </c>
      <c r="X253" s="933" t="s">
        <v>47</v>
      </c>
      <c r="Y253" s="567"/>
      <c r="Z253" s="568"/>
      <c r="AA253" s="1188"/>
      <c r="AB253" s="1188"/>
    </row>
    <row r="254" spans="1:62" ht="13.5" thickBot="1" x14ac:dyDescent="0.35">
      <c r="A254" s="100"/>
      <c r="B254" s="527"/>
      <c r="C254" s="356"/>
      <c r="D254" s="356"/>
      <c r="E254" s="356"/>
      <c r="F254" s="356"/>
      <c r="G254" s="356"/>
      <c r="H254" s="356"/>
      <c r="I254" s="356"/>
      <c r="J254" s="356"/>
      <c r="K254" s="569"/>
      <c r="L254" s="570" t="s">
        <v>48</v>
      </c>
      <c r="M254" s="571" t="s">
        <v>49</v>
      </c>
      <c r="N254" s="570" t="s">
        <v>50</v>
      </c>
      <c r="O254" s="570" t="s">
        <v>48</v>
      </c>
      <c r="P254" s="571" t="s">
        <v>49</v>
      </c>
      <c r="Q254" s="570" t="s">
        <v>50</v>
      </c>
      <c r="R254" s="134" t="s">
        <v>51</v>
      </c>
      <c r="S254" s="134" t="s">
        <v>52</v>
      </c>
      <c r="T254" s="570" t="s">
        <v>48</v>
      </c>
      <c r="U254" s="571" t="s">
        <v>49</v>
      </c>
      <c r="V254" s="991" t="s">
        <v>48</v>
      </c>
      <c r="W254" s="931" t="s">
        <v>49</v>
      </c>
      <c r="X254" s="934" t="s">
        <v>50</v>
      </c>
      <c r="Y254" s="572"/>
      <c r="Z254" s="568"/>
      <c r="AA254" s="1188"/>
      <c r="AB254" s="573"/>
      <c r="AD254" s="36"/>
      <c r="AK254" s="35"/>
      <c r="AL254" s="847"/>
      <c r="AM254" s="32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</row>
    <row r="255" spans="1:62" ht="13" x14ac:dyDescent="0.3">
      <c r="A255" s="867"/>
      <c r="B255" s="121" t="s">
        <v>307</v>
      </c>
      <c r="C255" s="36"/>
      <c r="D255" s="36"/>
      <c r="E255" s="36"/>
      <c r="F255" s="36"/>
      <c r="G255" s="842"/>
      <c r="H255" s="842"/>
      <c r="I255" s="842"/>
      <c r="J255" s="842"/>
      <c r="K255" s="574"/>
      <c r="L255" s="403">
        <f>M255+N255</f>
        <v>210613.2</v>
      </c>
      <c r="M255" s="403">
        <v>63906.6</v>
      </c>
      <c r="N255" s="403">
        <v>146706.6</v>
      </c>
      <c r="O255" s="511">
        <f t="shared" ref="O255:O265" si="25">P255+Q255</f>
        <v>175511</v>
      </c>
      <c r="P255" s="403">
        <v>53255.5</v>
      </c>
      <c r="Q255" s="403">
        <v>122255.5</v>
      </c>
      <c r="R255" s="575">
        <f>O255/10/30586</f>
        <v>0.57382789511541221</v>
      </c>
      <c r="S255" s="511">
        <v>0</v>
      </c>
      <c r="T255" s="511" t="e">
        <f>U255+#REF!</f>
        <v>#REF!</v>
      </c>
      <c r="U255" s="403">
        <v>63906.6</v>
      </c>
      <c r="V255" s="224">
        <f>W255+X255</f>
        <v>0</v>
      </c>
      <c r="W255" s="422">
        <v>0</v>
      </c>
      <c r="X255" s="434">
        <f>X256</f>
        <v>0</v>
      </c>
      <c r="Y255" s="310"/>
      <c r="Z255" s="1192"/>
      <c r="AA255" s="1086"/>
      <c r="AB255" s="1086"/>
      <c r="AC255" s="35"/>
      <c r="AD255" s="32"/>
      <c r="AE255" s="35"/>
      <c r="AF255" s="35"/>
      <c r="AG255" s="35"/>
      <c r="AH255" s="35"/>
      <c r="AI255" s="35"/>
      <c r="AJ255" s="35"/>
      <c r="AK255" s="35"/>
      <c r="AL255" s="847"/>
      <c r="AM255" s="32"/>
      <c r="AN255" s="84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</row>
    <row r="256" spans="1:62" ht="13" x14ac:dyDescent="0.3">
      <c r="A256" s="869"/>
      <c r="B256" s="982" t="s">
        <v>181</v>
      </c>
      <c r="C256" s="36"/>
      <c r="D256" s="36"/>
      <c r="E256" s="576"/>
      <c r="F256" s="36"/>
      <c r="G256" s="14"/>
      <c r="H256" s="885"/>
      <c r="I256" s="885"/>
      <c r="J256" s="885"/>
      <c r="K256" s="885"/>
      <c r="L256" s="403"/>
      <c r="M256" s="403">
        <v>0</v>
      </c>
      <c r="N256" s="403"/>
      <c r="O256" s="511">
        <f t="shared" si="25"/>
        <v>0</v>
      </c>
      <c r="P256" s="403"/>
      <c r="Q256" s="403"/>
      <c r="R256" s="575" t="e">
        <f>S256+T256</f>
        <v>#REF!</v>
      </c>
      <c r="S256" s="511" t="e">
        <f t="shared" ref="S256:S262" si="26">T256+U256</f>
        <v>#REF!</v>
      </c>
      <c r="T256" s="511" t="e">
        <f>U256+#REF!</f>
        <v>#REF!</v>
      </c>
      <c r="U256" s="403"/>
      <c r="V256" s="265">
        <f>W256+X256</f>
        <v>0</v>
      </c>
      <c r="W256" s="989">
        <v>0</v>
      </c>
      <c r="X256" s="989">
        <v>0</v>
      </c>
      <c r="Y256" s="310"/>
      <c r="Z256" s="577"/>
      <c r="AA256" s="35"/>
      <c r="AB256" s="35"/>
      <c r="AC256" s="35"/>
      <c r="AD256" s="32"/>
      <c r="AE256" s="35"/>
      <c r="AF256" s="35"/>
      <c r="AG256" s="35"/>
      <c r="AH256" s="35"/>
      <c r="AI256" s="35"/>
      <c r="AJ256" s="35"/>
      <c r="AK256" s="35"/>
      <c r="AL256" s="847"/>
      <c r="AM256" s="32"/>
      <c r="AN256" s="84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</row>
    <row r="257" spans="1:62" ht="24" customHeight="1" x14ac:dyDescent="0.35">
      <c r="A257" s="865"/>
      <c r="B257" s="1812" t="s">
        <v>182</v>
      </c>
      <c r="C257" s="1813"/>
      <c r="D257" s="1813"/>
      <c r="E257" s="1813"/>
      <c r="F257" s="1813"/>
      <c r="G257" s="1814"/>
      <c r="H257" s="1815" t="s">
        <v>183</v>
      </c>
      <c r="I257" s="1816"/>
      <c r="J257" s="1816"/>
      <c r="K257" s="1817"/>
      <c r="L257" s="403">
        <f t="shared" ref="L257:L264" si="27">M257+N257</f>
        <v>156120</v>
      </c>
      <c r="M257" s="165">
        <v>48060</v>
      </c>
      <c r="N257" s="165">
        <v>108060</v>
      </c>
      <c r="O257" s="511">
        <f t="shared" si="25"/>
        <v>145100</v>
      </c>
      <c r="P257" s="165">
        <f>40050+15000</f>
        <v>55050</v>
      </c>
      <c r="Q257" s="165">
        <v>90050</v>
      </c>
      <c r="R257" s="575">
        <f>O257/10/30586</f>
        <v>0.47440005231151505</v>
      </c>
      <c r="S257" s="511">
        <v>0</v>
      </c>
      <c r="T257" s="441" t="e">
        <f>U257+#REF!</f>
        <v>#REF!</v>
      </c>
      <c r="U257" s="441">
        <v>60660</v>
      </c>
      <c r="V257" s="578" t="s">
        <v>184</v>
      </c>
      <c r="W257" s="235">
        <v>0</v>
      </c>
      <c r="X257" s="578">
        <v>0</v>
      </c>
      <c r="Y257" s="1007"/>
      <c r="Z257" s="579"/>
      <c r="AA257" s="35"/>
      <c r="AB257" s="35"/>
      <c r="AC257" s="35"/>
      <c r="AD257" s="32"/>
      <c r="AE257" s="35"/>
      <c r="AF257" s="35"/>
      <c r="AG257" s="35"/>
      <c r="AH257" s="35"/>
      <c r="AI257" s="35"/>
      <c r="AJ257" s="35"/>
      <c r="AK257" s="35"/>
      <c r="AL257" s="847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</row>
    <row r="258" spans="1:62" ht="13" x14ac:dyDescent="0.3">
      <c r="A258" s="865"/>
      <c r="B258" s="121" t="s">
        <v>185</v>
      </c>
      <c r="C258" s="840"/>
      <c r="D258" s="840"/>
      <c r="E258" s="840"/>
      <c r="F258" s="840"/>
      <c r="G258" s="847"/>
      <c r="H258" s="847"/>
      <c r="I258" s="847"/>
      <c r="J258" s="847"/>
      <c r="L258" s="403">
        <f t="shared" si="27"/>
        <v>264268</v>
      </c>
      <c r="M258" s="165">
        <v>132134</v>
      </c>
      <c r="N258" s="165">
        <v>132134</v>
      </c>
      <c r="O258" s="441">
        <f t="shared" si="25"/>
        <v>251966</v>
      </c>
      <c r="P258" s="441">
        <v>125983</v>
      </c>
      <c r="Q258" s="441">
        <v>125983</v>
      </c>
      <c r="R258" s="575">
        <f>O258/10/30586</f>
        <v>0.82379520041849208</v>
      </c>
      <c r="S258" s="511">
        <v>0</v>
      </c>
      <c r="T258" s="441" t="e">
        <f>U258+#REF!</f>
        <v>#REF!</v>
      </c>
      <c r="U258" s="441">
        <v>132134</v>
      </c>
      <c r="V258" s="386">
        <v>0</v>
      </c>
      <c r="W258" s="205">
        <v>30000</v>
      </c>
      <c r="X258" s="386">
        <v>0</v>
      </c>
      <c r="Y258" s="1008"/>
      <c r="Z258" s="1151"/>
      <c r="AA258" s="1152"/>
      <c r="AB258" s="1152"/>
      <c r="AC258" s="1152"/>
      <c r="AD258" s="1152"/>
      <c r="AE258" s="1152"/>
      <c r="AF258" s="1152"/>
      <c r="AG258" s="1152"/>
      <c r="AH258" s="1152"/>
      <c r="AI258" s="1152"/>
      <c r="AJ258" s="1152"/>
      <c r="AK258" s="580"/>
      <c r="AL258" s="35"/>
      <c r="AM258" s="32"/>
      <c r="AN258" s="35"/>
      <c r="AO258" s="35"/>
      <c r="AP258" s="35"/>
      <c r="AQ258" s="35"/>
      <c r="AR258" s="35"/>
      <c r="AS258" s="321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</row>
    <row r="259" spans="1:62" ht="13" x14ac:dyDescent="0.3">
      <c r="A259" s="865"/>
      <c r="B259" s="858" t="s">
        <v>186</v>
      </c>
      <c r="C259" s="840"/>
      <c r="D259" s="840"/>
      <c r="E259" s="840"/>
      <c r="F259" s="840"/>
      <c r="H259" s="847"/>
      <c r="J259" s="986" t="s">
        <v>187</v>
      </c>
      <c r="K259" s="582" t="s">
        <v>187</v>
      </c>
      <c r="L259" s="583">
        <f t="shared" si="27"/>
        <v>9363.6</v>
      </c>
      <c r="M259" s="584">
        <v>9363.6</v>
      </c>
      <c r="N259" s="584">
        <v>0</v>
      </c>
      <c r="O259" s="585">
        <f t="shared" si="25"/>
        <v>0</v>
      </c>
      <c r="P259" s="584"/>
      <c r="Q259" s="584"/>
      <c r="R259" s="586">
        <f>O259/12/30586</f>
        <v>0</v>
      </c>
      <c r="S259" s="585" t="e">
        <f t="shared" si="26"/>
        <v>#REF!</v>
      </c>
      <c r="T259" s="587" t="e">
        <f>U259+#REF!</f>
        <v>#REF!</v>
      </c>
      <c r="U259" s="587"/>
      <c r="V259" s="235">
        <f>W259+X259</f>
        <v>243646</v>
      </c>
      <c r="W259" s="235">
        <v>121823</v>
      </c>
      <c r="X259" s="235">
        <v>121823</v>
      </c>
      <c r="Y259" s="1009"/>
      <c r="Z259" s="1152"/>
      <c r="AA259" s="1152"/>
      <c r="AB259" s="1152"/>
      <c r="AC259" s="1152"/>
      <c r="AD259" s="1152"/>
      <c r="AE259" s="1152"/>
      <c r="AF259" s="1152"/>
      <c r="AG259" s="1152"/>
      <c r="AH259" s="1152"/>
      <c r="AI259" s="1152"/>
      <c r="AJ259" s="1152"/>
      <c r="AK259" s="35"/>
      <c r="AL259" s="35"/>
      <c r="AM259" s="32"/>
      <c r="AN259" s="35"/>
      <c r="AO259" s="35"/>
      <c r="AP259" s="35"/>
      <c r="AQ259" s="35"/>
      <c r="AR259" s="35"/>
      <c r="AS259" s="35"/>
      <c r="AT259" s="859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</row>
    <row r="260" spans="1:62" ht="14.5" thickBot="1" x14ac:dyDescent="0.35">
      <c r="A260" s="865"/>
      <c r="B260" s="887" t="s">
        <v>188</v>
      </c>
      <c r="C260" s="885"/>
      <c r="D260" s="885"/>
      <c r="E260" s="885"/>
      <c r="F260" s="885"/>
      <c r="G260" s="885"/>
      <c r="H260" s="148"/>
      <c r="I260" s="321"/>
      <c r="J260" s="321"/>
      <c r="K260" s="589"/>
      <c r="L260" s="403">
        <f t="shared" si="27"/>
        <v>9828</v>
      </c>
      <c r="M260" s="165">
        <v>9828</v>
      </c>
      <c r="N260" s="165"/>
      <c r="O260" s="511">
        <f t="shared" si="25"/>
        <v>0</v>
      </c>
      <c r="P260" s="165"/>
      <c r="Q260" s="165"/>
      <c r="R260" s="575">
        <f>O260/12/30586</f>
        <v>0</v>
      </c>
      <c r="S260" s="511" t="e">
        <f t="shared" si="26"/>
        <v>#REF!</v>
      </c>
      <c r="T260" s="389" t="e">
        <f>U260+#REF!</f>
        <v>#REF!</v>
      </c>
      <c r="U260" s="323"/>
      <c r="V260" s="590">
        <f t="shared" ref="V260" si="28">W260+X260</f>
        <v>0</v>
      </c>
      <c r="W260" s="590">
        <v>0</v>
      </c>
      <c r="X260" s="590">
        <v>0</v>
      </c>
      <c r="Y260" s="1009"/>
      <c r="Z260" s="579"/>
      <c r="AA260" s="35"/>
      <c r="AB260" s="35"/>
      <c r="AC260" s="35"/>
      <c r="AD260" s="32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859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</row>
    <row r="261" spans="1:62" ht="14.5" thickBot="1" x14ac:dyDescent="0.35">
      <c r="A261" s="865"/>
      <c r="B261" s="883" t="s">
        <v>305</v>
      </c>
      <c r="C261" s="580"/>
      <c r="D261" s="580"/>
      <c r="E261" s="847"/>
      <c r="F261" s="1818" t="s">
        <v>189</v>
      </c>
      <c r="G261" s="1819"/>
      <c r="H261" s="1819"/>
      <c r="I261" s="1819"/>
      <c r="J261" s="1820"/>
      <c r="K261" s="592"/>
      <c r="L261" s="403"/>
      <c r="M261" s="165"/>
      <c r="N261" s="165"/>
      <c r="O261" s="511"/>
      <c r="P261" s="165"/>
      <c r="Q261" s="165"/>
      <c r="R261" s="575"/>
      <c r="S261" s="511"/>
      <c r="T261" s="389"/>
      <c r="U261" s="323"/>
      <c r="V261" s="590">
        <f>W261+W261</f>
        <v>0</v>
      </c>
      <c r="W261" s="590">
        <v>0</v>
      </c>
      <c r="X261" s="590">
        <v>0</v>
      </c>
      <c r="Y261" s="1009"/>
      <c r="Z261" s="1821"/>
      <c r="AA261" s="1821"/>
      <c r="AB261" s="1821"/>
      <c r="AC261" s="1821"/>
      <c r="AD261" s="1821"/>
      <c r="AE261" s="35"/>
      <c r="AF261" s="35"/>
      <c r="AG261" s="35"/>
      <c r="AH261" s="35"/>
      <c r="AI261" s="35"/>
      <c r="AJ261" s="35"/>
      <c r="AK261" s="1025"/>
      <c r="AL261" s="35"/>
      <c r="AM261" s="32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</row>
    <row r="262" spans="1:62" ht="15.5" x14ac:dyDescent="0.35">
      <c r="A262" s="865"/>
      <c r="B262" s="983" t="s">
        <v>190</v>
      </c>
      <c r="C262" s="984"/>
      <c r="D262" s="984"/>
      <c r="E262" s="985"/>
      <c r="F262" s="593"/>
      <c r="G262" s="1822"/>
      <c r="H262" s="1823"/>
      <c r="I262" s="1823"/>
      <c r="J262" s="1823"/>
      <c r="K262" s="1824"/>
      <c r="L262" s="403">
        <f t="shared" si="27"/>
        <v>103080</v>
      </c>
      <c r="M262" s="165">
        <v>51540</v>
      </c>
      <c r="N262" s="165">
        <v>51540</v>
      </c>
      <c r="O262" s="511">
        <f t="shared" si="25"/>
        <v>0</v>
      </c>
      <c r="P262" s="165"/>
      <c r="Q262" s="165"/>
      <c r="R262" s="575">
        <f>O262/12/30586</f>
        <v>0</v>
      </c>
      <c r="S262" s="511" t="e">
        <f t="shared" si="26"/>
        <v>#REF!</v>
      </c>
      <c r="T262" s="389" t="e">
        <f>U262+#REF!</f>
        <v>#REF!</v>
      </c>
      <c r="U262" s="389"/>
      <c r="V262" s="590">
        <f t="shared" ref="V262" si="29">W262+X262</f>
        <v>0</v>
      </c>
      <c r="W262" s="590">
        <v>0</v>
      </c>
      <c r="X262" s="590">
        <v>0</v>
      </c>
      <c r="Y262" s="1007"/>
      <c r="Z262" s="579"/>
      <c r="AA262" s="35"/>
      <c r="AB262" s="35"/>
      <c r="AC262" s="35"/>
      <c r="AD262" s="32"/>
      <c r="AE262" s="35"/>
      <c r="AF262" s="35"/>
      <c r="AG262" s="35"/>
      <c r="AH262" s="35"/>
      <c r="AI262" s="35"/>
      <c r="AJ262" s="35"/>
      <c r="AK262" s="35"/>
      <c r="AL262" s="35"/>
      <c r="AM262" s="32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</row>
    <row r="263" spans="1:62" ht="13" x14ac:dyDescent="0.3">
      <c r="A263" s="869"/>
      <c r="B263" s="1112" t="s">
        <v>191</v>
      </c>
      <c r="C263" s="1100"/>
      <c r="D263" s="1100"/>
      <c r="E263" s="1100"/>
      <c r="F263" s="1100"/>
      <c r="G263" s="1100"/>
      <c r="H263" s="1100"/>
      <c r="I263" s="1100"/>
      <c r="J263" s="1113" t="s">
        <v>192</v>
      </c>
      <c r="K263" s="1113" t="s">
        <v>192</v>
      </c>
      <c r="L263" s="1114">
        <f t="shared" si="27"/>
        <v>110031.56</v>
      </c>
      <c r="M263" s="1115">
        <v>55015.78</v>
      </c>
      <c r="N263" s="1115">
        <v>55015.78</v>
      </c>
      <c r="O263" s="1115">
        <f t="shared" si="25"/>
        <v>101687.65</v>
      </c>
      <c r="P263" s="1115">
        <v>50843.83</v>
      </c>
      <c r="Q263" s="1115">
        <v>50843.82</v>
      </c>
      <c r="R263" s="1116">
        <f>O263/10/30586</f>
        <v>0.33246468972732623</v>
      </c>
      <c r="S263" s="1115">
        <v>0</v>
      </c>
      <c r="T263" s="1115" t="e">
        <f>U263+#REF!</f>
        <v>#REF!</v>
      </c>
      <c r="U263" s="1115">
        <v>60487.13</v>
      </c>
      <c r="V263" s="1115">
        <f>W263+X263</f>
        <v>149829.29999999999</v>
      </c>
      <c r="W263" s="1115">
        <v>74914.649999999994</v>
      </c>
      <c r="X263" s="1115">
        <v>74914.649999999994</v>
      </c>
      <c r="Y263" s="167"/>
      <c r="Z263" s="1825" t="s">
        <v>334</v>
      </c>
      <c r="AA263" s="1826"/>
      <c r="AB263" s="1188"/>
      <c r="AC263" s="1188"/>
      <c r="AD263" s="1188"/>
      <c r="AE263" s="1188"/>
      <c r="AF263" s="1188"/>
      <c r="AG263" s="1188"/>
      <c r="AH263" s="1069"/>
      <c r="AI263" s="35"/>
      <c r="AJ263" s="35"/>
      <c r="AK263" s="35"/>
      <c r="AL263" s="35"/>
      <c r="AM263" s="32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</row>
    <row r="264" spans="1:62" ht="13.5" thickBot="1" x14ac:dyDescent="0.35">
      <c r="A264" s="444"/>
      <c r="B264" s="1117" t="s">
        <v>193</v>
      </c>
      <c r="C264" s="1118"/>
      <c r="D264" s="1118"/>
      <c r="E264" s="1118"/>
      <c r="F264" s="1118"/>
      <c r="G264" s="1118"/>
      <c r="H264" s="1118"/>
      <c r="I264" s="1118" t="s">
        <v>194</v>
      </c>
      <c r="J264" s="1118"/>
      <c r="K264" s="1119"/>
      <c r="L264" s="1120">
        <f t="shared" si="27"/>
        <v>107058</v>
      </c>
      <c r="M264" s="1111">
        <v>53529</v>
      </c>
      <c r="N264" s="1111">
        <v>53529</v>
      </c>
      <c r="O264" s="1101">
        <f t="shared" si="25"/>
        <v>108984.87</v>
      </c>
      <c r="P264" s="1111">
        <v>54492.43</v>
      </c>
      <c r="Q264" s="1111">
        <v>54492.44</v>
      </c>
      <c r="R264" s="1073">
        <f>O264/10/30586</f>
        <v>0.35632272935329889</v>
      </c>
      <c r="S264" s="1101">
        <v>0</v>
      </c>
      <c r="T264" s="1101" t="e">
        <f>U264+#REF!</f>
        <v>#REF!</v>
      </c>
      <c r="U264" s="1111">
        <v>65550.83</v>
      </c>
      <c r="V264" s="1115">
        <f>W264+X264</f>
        <v>162947.12</v>
      </c>
      <c r="W264" s="1111">
        <v>81473.56</v>
      </c>
      <c r="X264" s="1111">
        <v>81473.56</v>
      </c>
      <c r="Y264" s="1010"/>
      <c r="Z264" s="1825" t="s">
        <v>373</v>
      </c>
      <c r="AA264" s="1826"/>
      <c r="AB264" s="1808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2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</row>
    <row r="265" spans="1:62" ht="14.5" thickBot="1" x14ac:dyDescent="0.35">
      <c r="A265" s="595"/>
      <c r="B265" s="895" t="s">
        <v>285</v>
      </c>
      <c r="C265" s="857"/>
      <c r="D265" s="857"/>
      <c r="E265" s="857"/>
      <c r="F265" s="857"/>
      <c r="G265" s="597"/>
      <c r="H265" s="597"/>
      <c r="I265" s="597"/>
      <c r="J265" s="597"/>
      <c r="K265" s="594"/>
      <c r="L265" s="598">
        <f>SUM(L255:L264)</f>
        <v>970362.35999999987</v>
      </c>
      <c r="M265" s="598">
        <f>SUM(M255:M264)</f>
        <v>423376.98</v>
      </c>
      <c r="N265" s="598">
        <f>SUM(N255:N264)</f>
        <v>546985.38</v>
      </c>
      <c r="O265" s="599">
        <f t="shared" si="25"/>
        <v>783249.52</v>
      </c>
      <c r="P265" s="599">
        <f>P255+P258+P257+P259+P260+P262+P263+P264</f>
        <v>339624.76</v>
      </c>
      <c r="Q265" s="599">
        <f>SUM(Q255:Q264)</f>
        <v>443624.76</v>
      </c>
      <c r="R265" s="598" t="e">
        <f>SUM(R255:R264)</f>
        <v>#REF!</v>
      </c>
      <c r="S265" s="598">
        <v>0</v>
      </c>
      <c r="T265" s="600" t="e">
        <f>U265+#REF!</f>
        <v>#REF!</v>
      </c>
      <c r="U265" s="600">
        <f>U255+U258+U257+U259+U260+U262+U263+U264</f>
        <v>382738.56</v>
      </c>
      <c r="V265" s="994">
        <f>W265+X265</f>
        <v>586422.41999999993</v>
      </c>
      <c r="W265" s="951">
        <f>W257+W258+W263+W264+W262+W261+W255+W259</f>
        <v>308211.20999999996</v>
      </c>
      <c r="X265" s="949">
        <f>X255+X257+X258+X259+X260+X261+X263+X264</f>
        <v>278211.20999999996</v>
      </c>
      <c r="Y265" s="1011"/>
      <c r="Z265" s="602"/>
      <c r="AA265" s="35"/>
      <c r="AB265" s="35"/>
      <c r="AC265" s="35"/>
      <c r="AD265" s="32"/>
      <c r="AE265" s="35"/>
      <c r="AF265" s="35"/>
      <c r="AG265" s="35"/>
      <c r="AH265" s="35"/>
      <c r="AI265" s="35"/>
      <c r="AJ265" s="35"/>
      <c r="AK265" s="35"/>
      <c r="AL265" s="35"/>
      <c r="AM265" s="32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</row>
    <row r="266" spans="1:62" ht="13.5" customHeight="1" thickBot="1" x14ac:dyDescent="0.4">
      <c r="B266" s="945"/>
      <c r="C266" s="857"/>
      <c r="D266" s="857"/>
      <c r="E266" s="857"/>
      <c r="F266" s="857"/>
      <c r="G266" s="857"/>
      <c r="H266" s="857"/>
      <c r="I266" s="946"/>
      <c r="J266" s="603"/>
      <c r="K266" s="604" t="s">
        <v>195</v>
      </c>
      <c r="L266" s="605">
        <f t="shared" ref="L266:Q266" si="30">L252-L265</f>
        <v>-101532.35999999987</v>
      </c>
      <c r="M266" s="606">
        <f t="shared" si="30"/>
        <v>11855.020000000019</v>
      </c>
      <c r="N266" s="607">
        <f t="shared" si="30"/>
        <v>-113487.38</v>
      </c>
      <c r="O266" s="608">
        <f t="shared" si="30"/>
        <v>-74443.819999999949</v>
      </c>
      <c r="P266" s="606">
        <f t="shared" si="30"/>
        <v>23314.760000000009</v>
      </c>
      <c r="Q266" s="607">
        <f t="shared" si="30"/>
        <v>-97758.579999999958</v>
      </c>
      <c r="R266" s="606"/>
      <c r="S266" s="606">
        <f t="shared" ref="S266:U266" si="31">S252-S265</f>
        <v>0</v>
      </c>
      <c r="T266" s="609" t="e">
        <f t="shared" si="31"/>
        <v>#REF!</v>
      </c>
      <c r="U266" s="609">
        <f t="shared" si="31"/>
        <v>51756.200000000012</v>
      </c>
      <c r="V266" s="992">
        <f>W266+X266</f>
        <v>51077.580000000075</v>
      </c>
      <c r="W266" s="952">
        <f>W252-W265</f>
        <v>30450.790000000037</v>
      </c>
      <c r="X266" s="950">
        <f>X252-X265</f>
        <v>20626.790000000037</v>
      </c>
      <c r="Y266" s="610"/>
      <c r="Z266" s="611"/>
      <c r="AA266" s="838"/>
      <c r="AB266" s="877"/>
      <c r="AC266" s="838"/>
      <c r="AD266" s="29"/>
      <c r="AE266" s="612"/>
      <c r="AF266" s="838"/>
      <c r="AG266" s="838"/>
      <c r="AH266" s="838"/>
      <c r="AI266" s="838"/>
      <c r="AJ266" s="838"/>
      <c r="AK266" s="35"/>
      <c r="AL266" s="35"/>
      <c r="AM266" s="32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</row>
    <row r="267" spans="1:62" ht="24" customHeight="1" thickBot="1" x14ac:dyDescent="0.4">
      <c r="B267" s="954" t="s">
        <v>286</v>
      </c>
      <c r="C267" s="613"/>
      <c r="D267" s="613"/>
      <c r="E267" s="613"/>
      <c r="F267" s="613"/>
      <c r="G267" s="613"/>
      <c r="H267" s="613"/>
      <c r="I267" s="613"/>
      <c r="J267" s="614"/>
      <c r="K267" s="615"/>
      <c r="L267" s="616">
        <f>M267+N267</f>
        <v>1090362.3599999999</v>
      </c>
      <c r="M267" s="617">
        <f>M229+M265</f>
        <v>423376.98</v>
      </c>
      <c r="N267" s="617">
        <f>N229+N265</f>
        <v>666985.38</v>
      </c>
      <c r="O267" s="611"/>
      <c r="P267" s="611"/>
      <c r="Q267" s="611"/>
      <c r="V267" s="993">
        <f>W267+X267</f>
        <v>-1165184.1900000013</v>
      </c>
      <c r="W267" s="953">
        <f>W266+W235</f>
        <v>-622294.72500000056</v>
      </c>
      <c r="X267" s="988">
        <f>X266+X235</f>
        <v>-542889.46500000078</v>
      </c>
      <c r="Y267" s="618"/>
      <c r="Z267" s="863"/>
      <c r="AA267" s="838"/>
      <c r="AB267" s="860"/>
      <c r="AC267" s="838"/>
      <c r="AD267" s="29"/>
      <c r="AE267" s="838"/>
      <c r="AF267" s="838"/>
      <c r="AG267" s="838"/>
      <c r="AH267" s="838"/>
      <c r="AI267" s="838"/>
      <c r="AJ267" s="838"/>
      <c r="AK267" s="35"/>
      <c r="AL267" s="35"/>
      <c r="AM267" s="32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</row>
    <row r="268" spans="1:62" ht="13.5" customHeight="1" x14ac:dyDescent="0.3">
      <c r="B268" s="840"/>
      <c r="C268" s="840"/>
      <c r="D268" s="840"/>
      <c r="E268" s="840"/>
      <c r="F268" s="840"/>
      <c r="G268" s="840"/>
      <c r="H268" s="840"/>
      <c r="I268" s="840"/>
      <c r="J268" s="840"/>
      <c r="K268" s="619"/>
      <c r="L268" s="620"/>
      <c r="M268" s="620"/>
      <c r="N268" s="620"/>
      <c r="O268" s="620"/>
      <c r="P268" s="620"/>
      <c r="Q268" s="620"/>
      <c r="R268" s="621"/>
      <c r="S268" s="621"/>
      <c r="T268" s="621"/>
      <c r="U268" s="621"/>
      <c r="V268" s="1178"/>
      <c r="W268" s="622"/>
      <c r="X268" s="622"/>
      <c r="AK268" s="35"/>
      <c r="AL268" s="35"/>
      <c r="AM268" s="32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</row>
    <row r="269" spans="1:62" ht="13.5" customHeight="1" x14ac:dyDescent="0.35">
      <c r="B269" s="209"/>
      <c r="C269" s="209"/>
      <c r="D269" s="209"/>
      <c r="E269" s="209"/>
      <c r="F269" s="209"/>
      <c r="G269" s="1176" t="s">
        <v>401</v>
      </c>
      <c r="H269" s="1176"/>
      <c r="I269" s="1176"/>
      <c r="J269" s="1176"/>
      <c r="K269" s="209"/>
      <c r="L269" s="624">
        <f>M269+N269</f>
        <v>-105561.16000000073</v>
      </c>
      <c r="M269" s="624">
        <f>M235+M266</f>
        <v>-66025.880000000354</v>
      </c>
      <c r="N269" s="624">
        <f>N235+N266</f>
        <v>-39535.280000000377</v>
      </c>
      <c r="O269" s="611"/>
      <c r="P269" s="611"/>
      <c r="Q269" s="611"/>
      <c r="V269" s="1177">
        <f>W269+X269</f>
        <v>506072.23999999871</v>
      </c>
      <c r="W269" s="1177">
        <f>W267+W80</f>
        <v>272633.82499999949</v>
      </c>
      <c r="X269" s="1177">
        <f>X267+X80</f>
        <v>233438.41499999922</v>
      </c>
      <c r="Y269" s="549"/>
      <c r="AK269" s="847"/>
      <c r="AL269" s="35"/>
      <c r="AM269" s="32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</row>
    <row r="270" spans="1:62" ht="13.5" customHeight="1" x14ac:dyDescent="0.4">
      <c r="B270" s="625"/>
      <c r="C270" s="625"/>
      <c r="D270" s="625"/>
      <c r="E270" s="625"/>
      <c r="F270" s="625"/>
      <c r="G270" s="626"/>
      <c r="H270" s="627"/>
      <c r="I270" s="209"/>
      <c r="J270" s="628"/>
      <c r="K270" s="623"/>
      <c r="L270" s="624"/>
      <c r="M270" s="624"/>
      <c r="N270" s="624"/>
      <c r="O270" s="624"/>
      <c r="P270" s="624"/>
      <c r="Q270" s="624"/>
      <c r="R270" s="12"/>
      <c r="S270" s="12"/>
      <c r="T270" s="12"/>
      <c r="U270" s="12"/>
      <c r="V270" s="12"/>
      <c r="W270" s="549"/>
      <c r="X270" s="549"/>
      <c r="Y270" s="549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</row>
    <row r="271" spans="1:62" ht="12.75" customHeight="1" x14ac:dyDescent="0.3">
      <c r="B271" s="628"/>
      <c r="C271" s="628"/>
      <c r="D271" s="628"/>
      <c r="E271" s="628"/>
      <c r="F271" s="628"/>
      <c r="G271" s="628"/>
      <c r="H271" s="628"/>
      <c r="I271" s="628"/>
      <c r="J271" s="628"/>
      <c r="K271" s="628"/>
      <c r="L271" s="629"/>
      <c r="M271" s="630"/>
      <c r="N271" s="631"/>
      <c r="O271" s="12"/>
      <c r="P271" s="12"/>
      <c r="Q271" s="12"/>
      <c r="R271" s="12"/>
      <c r="S271" s="12"/>
      <c r="T271" s="12"/>
      <c r="U271" s="12"/>
      <c r="V271" s="12"/>
      <c r="W271" s="12"/>
      <c r="AK271" s="35"/>
      <c r="AL271" s="35"/>
      <c r="AM271" s="32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</row>
    <row r="272" spans="1:62" ht="15.5" x14ac:dyDescent="0.35">
      <c r="A272" s="837" t="s">
        <v>14</v>
      </c>
      <c r="B272" s="20" t="s">
        <v>306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632"/>
      <c r="M272" s="632"/>
      <c r="N272" s="632"/>
      <c r="O272" s="11"/>
      <c r="P272" s="11"/>
      <c r="Q272" s="11"/>
      <c r="R272" s="11"/>
      <c r="S272" s="11"/>
      <c r="T272" s="11"/>
      <c r="U272" s="11"/>
      <c r="V272" s="11"/>
      <c r="W272" s="11"/>
      <c r="X272" s="10"/>
      <c r="AK272" s="1026"/>
      <c r="AL272" s="35"/>
      <c r="AM272" s="32"/>
      <c r="AN272" s="84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</row>
    <row r="273" spans="1:62" ht="13" x14ac:dyDescent="0.3">
      <c r="A273" s="837"/>
      <c r="B273" s="839"/>
      <c r="C273" s="863"/>
      <c r="D273" s="863"/>
      <c r="E273" s="863"/>
      <c r="F273" s="863"/>
      <c r="G273" s="863"/>
      <c r="H273" s="863"/>
      <c r="I273" s="863"/>
      <c r="J273" s="863"/>
      <c r="K273" s="863"/>
      <c r="L273" s="881"/>
      <c r="M273" s="881"/>
      <c r="N273" s="881"/>
      <c r="O273" s="863"/>
      <c r="P273" s="863"/>
      <c r="Q273" s="863"/>
      <c r="R273" s="863"/>
      <c r="S273" s="863"/>
      <c r="T273" s="863"/>
      <c r="U273" s="863"/>
      <c r="V273" s="863"/>
      <c r="W273" s="863"/>
      <c r="X273" s="838"/>
      <c r="AK273" s="1026"/>
      <c r="AL273" s="35"/>
      <c r="AM273" s="32"/>
      <c r="AN273" s="84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</row>
    <row r="274" spans="1:62" ht="13" x14ac:dyDescent="0.3">
      <c r="A274" s="835"/>
      <c r="B274" s="18" t="s">
        <v>326</v>
      </c>
      <c r="C274" s="14"/>
      <c r="D274" s="14"/>
      <c r="E274" s="14"/>
      <c r="F274" s="14"/>
      <c r="G274" s="14"/>
      <c r="H274" s="14"/>
      <c r="I274" s="14"/>
      <c r="J274" s="19"/>
      <c r="K274" s="633">
        <v>4819593.82</v>
      </c>
      <c r="L274" s="634"/>
      <c r="M274" s="634"/>
      <c r="N274" s="634"/>
      <c r="O274" s="14"/>
      <c r="P274" s="14"/>
      <c r="Q274" s="14"/>
      <c r="R274" s="14"/>
      <c r="S274" s="14"/>
      <c r="T274" s="14"/>
      <c r="U274" s="14"/>
      <c r="V274" s="14"/>
      <c r="W274" s="14"/>
      <c r="AK274" s="847"/>
      <c r="AL274" s="35"/>
      <c r="AM274" s="32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</row>
    <row r="275" spans="1:62" ht="13" x14ac:dyDescent="0.3">
      <c r="A275" s="837" t="s">
        <v>196</v>
      </c>
      <c r="B275" s="1130" t="s">
        <v>197</v>
      </c>
      <c r="C275" s="1130"/>
      <c r="D275" s="1139"/>
      <c r="E275" s="1139"/>
      <c r="F275" s="1130"/>
      <c r="G275" s="1129">
        <v>3555176.44</v>
      </c>
      <c r="H275" s="1130" t="s">
        <v>167</v>
      </c>
      <c r="I275" s="1140"/>
      <c r="J275" s="1140"/>
      <c r="K275" s="1140"/>
      <c r="L275" s="1140"/>
      <c r="M275" s="1140"/>
      <c r="N275" s="1140"/>
      <c r="O275" s="1140"/>
      <c r="P275" s="1140"/>
      <c r="Q275" s="1140"/>
      <c r="R275" s="1140"/>
      <c r="S275" s="1140"/>
      <c r="T275" s="1140"/>
      <c r="U275" s="1140"/>
      <c r="V275" s="1140"/>
      <c r="W275" s="12"/>
      <c r="X275" s="636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</row>
    <row r="276" spans="1:62" ht="13" x14ac:dyDescent="0.3">
      <c r="A276" s="838"/>
      <c r="B276" s="1141" t="s">
        <v>19</v>
      </c>
      <c r="C276" s="1142"/>
      <c r="D276" s="1142"/>
      <c r="E276" s="1142"/>
      <c r="F276" s="1142"/>
      <c r="G276" s="1142"/>
      <c r="H276" s="1142"/>
      <c r="I276" s="1140"/>
      <c r="J276" s="1140"/>
      <c r="K276" s="1140"/>
      <c r="L276" s="1134"/>
      <c r="M276" s="1143"/>
      <c r="N276" s="1144"/>
      <c r="O276" s="1140"/>
      <c r="P276" s="1140"/>
      <c r="Q276" s="1140"/>
      <c r="R276" s="1140"/>
      <c r="S276" s="1140"/>
      <c r="T276" s="1140"/>
      <c r="U276" s="1140"/>
      <c r="V276" s="1140"/>
      <c r="W276" s="12"/>
      <c r="X276" s="12"/>
      <c r="Y276" s="552"/>
      <c r="Z276" s="637"/>
      <c r="AA276" s="552"/>
      <c r="AB276" s="39"/>
      <c r="AC276" s="12"/>
      <c r="AD276" s="12"/>
      <c r="AE276" s="12"/>
      <c r="AF276" s="12"/>
      <c r="AG276" s="12"/>
      <c r="AH276" s="12"/>
      <c r="AI276" s="12"/>
      <c r="AJ276" s="12"/>
      <c r="AK276" s="53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</row>
    <row r="277" spans="1:62" ht="18" x14ac:dyDescent="0.4">
      <c r="A277" s="838"/>
      <c r="B277" s="1145" t="s">
        <v>289</v>
      </c>
      <c r="C277" s="1145"/>
      <c r="D277" s="1145"/>
      <c r="E277" s="1126"/>
      <c r="F277" s="1126"/>
      <c r="G277" s="1131" t="s">
        <v>392</v>
      </c>
      <c r="H277" s="1126"/>
      <c r="I277" s="1126"/>
      <c r="J277" s="1132">
        <v>1722329.48</v>
      </c>
      <c r="K277" s="1126" t="s">
        <v>167</v>
      </c>
      <c r="L277" s="1130" t="s">
        <v>198</v>
      </c>
      <c r="M277" s="1133"/>
      <c r="N277" s="1146"/>
      <c r="O277" s="1130" t="s">
        <v>37</v>
      </c>
      <c r="P277" s="1133"/>
      <c r="Q277" s="1126"/>
      <c r="R277" s="1126"/>
      <c r="S277" s="1126"/>
      <c r="T277" s="1126"/>
      <c r="U277" s="1126"/>
      <c r="V277" s="1126"/>
      <c r="W277" s="1134" t="s">
        <v>364</v>
      </c>
      <c r="X277" s="1126"/>
      <c r="Y277" s="552"/>
      <c r="AA277" s="638"/>
      <c r="AB277" s="39"/>
      <c r="AC277" s="12"/>
      <c r="AD277" s="552" t="s">
        <v>41</v>
      </c>
      <c r="AE277" s="12"/>
      <c r="AF277" s="12"/>
      <c r="AG277" s="12"/>
      <c r="AH277" s="12"/>
      <c r="AI277" s="12"/>
      <c r="AJ277" s="12"/>
      <c r="AK277" s="53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</row>
    <row r="278" spans="1:62" ht="13" x14ac:dyDescent="0.3">
      <c r="A278" s="838"/>
      <c r="B278" s="1126" t="s">
        <v>290</v>
      </c>
      <c r="C278" s="1126"/>
      <c r="D278" s="1126"/>
      <c r="E278" s="1131"/>
      <c r="F278" s="1126"/>
      <c r="G278" s="1126"/>
      <c r="H278" s="1126"/>
      <c r="I278" s="1126"/>
      <c r="J278" s="1132">
        <v>3000</v>
      </c>
      <c r="K278" s="1126" t="s">
        <v>167</v>
      </c>
      <c r="L278" s="1130"/>
      <c r="M278" s="1133"/>
      <c r="N278" s="1146"/>
      <c r="O278" s="1130"/>
      <c r="P278" s="1133"/>
      <c r="Q278" s="1126"/>
      <c r="R278" s="1126"/>
      <c r="S278" s="1126"/>
      <c r="T278" s="1126"/>
      <c r="U278" s="1126"/>
      <c r="V278" s="1126"/>
      <c r="W278" s="15"/>
      <c r="X278" s="1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</row>
    <row r="279" spans="1:62" ht="13" x14ac:dyDescent="0.3">
      <c r="A279" s="838"/>
      <c r="B279" s="1126" t="s">
        <v>361</v>
      </c>
      <c r="C279" s="1126"/>
      <c r="D279" s="1126"/>
      <c r="E279" s="1131"/>
      <c r="F279" s="1126"/>
      <c r="G279" s="1132"/>
      <c r="H279" s="1126"/>
      <c r="I279" s="1126"/>
      <c r="J279" s="1132">
        <v>125000</v>
      </c>
      <c r="K279" s="1126" t="s">
        <v>167</v>
      </c>
      <c r="L279" s="1126"/>
      <c r="M279" s="1126"/>
      <c r="N279" s="1126"/>
      <c r="O279" s="1126"/>
      <c r="P279" s="1126"/>
      <c r="Q279" s="1126"/>
      <c r="R279" s="1126"/>
      <c r="S279" s="1126"/>
      <c r="T279" s="1126"/>
      <c r="U279" s="1126"/>
      <c r="V279" s="1126"/>
      <c r="W279" s="15"/>
      <c r="X279" s="1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</row>
    <row r="280" spans="1:62" ht="13" x14ac:dyDescent="0.3">
      <c r="A280" s="838"/>
      <c r="B280" s="1126"/>
      <c r="C280" s="1126"/>
      <c r="D280" s="1126"/>
      <c r="E280" s="1131"/>
      <c r="F280" s="1126"/>
      <c r="G280" s="1129" t="s">
        <v>199</v>
      </c>
      <c r="H280" s="1126"/>
      <c r="I280" s="1126"/>
      <c r="J280" s="1129">
        <f>J277+J278+J279</f>
        <v>1850329.48</v>
      </c>
      <c r="K280" s="1126" t="s">
        <v>167</v>
      </c>
      <c r="L280" s="1126"/>
      <c r="M280" s="1126"/>
      <c r="N280" s="1126"/>
      <c r="O280" s="1126"/>
      <c r="P280" s="1126"/>
      <c r="Q280" s="1126"/>
      <c r="R280" s="1126"/>
      <c r="S280" s="1126"/>
      <c r="T280" s="1126"/>
      <c r="U280" s="1126"/>
      <c r="V280" s="1126"/>
      <c r="W280" s="15"/>
      <c r="X280" s="15"/>
    </row>
    <row r="281" spans="1:62" ht="13" x14ac:dyDescent="0.3">
      <c r="A281" s="838"/>
      <c r="B281" s="1145" t="s">
        <v>200</v>
      </c>
      <c r="C281" s="1145"/>
      <c r="D281" s="1145"/>
      <c r="E281" s="1126"/>
      <c r="F281" s="1126"/>
      <c r="G281" s="1131" t="s">
        <v>393</v>
      </c>
      <c r="H281" s="1126"/>
      <c r="I281" s="1126"/>
      <c r="J281" s="1132">
        <v>1708814.02</v>
      </c>
      <c r="K281" s="1126" t="s">
        <v>167</v>
      </c>
      <c r="L281" s="1130" t="s">
        <v>198</v>
      </c>
      <c r="M281" s="1133"/>
      <c r="N281" s="1146"/>
      <c r="O281" s="1130" t="s">
        <v>37</v>
      </c>
      <c r="P281" s="1133"/>
      <c r="Q281" s="1126"/>
      <c r="R281" s="1126"/>
      <c r="S281" s="1126"/>
      <c r="T281" s="1126"/>
      <c r="U281" s="1126"/>
      <c r="V281" s="1126"/>
      <c r="W281" s="15"/>
      <c r="X281" s="15"/>
    </row>
    <row r="282" spans="1:62" ht="13" x14ac:dyDescent="0.3">
      <c r="A282" s="838"/>
      <c r="B282" s="1126" t="s">
        <v>362</v>
      </c>
      <c r="C282" s="1126"/>
      <c r="D282" s="1126"/>
      <c r="E282" s="1131"/>
      <c r="F282" s="1126"/>
      <c r="G282" s="1126"/>
      <c r="H282" s="1126"/>
      <c r="I282" s="1126"/>
      <c r="J282" s="1132">
        <v>3000</v>
      </c>
      <c r="K282" s="1126" t="s">
        <v>167</v>
      </c>
      <c r="L282" s="1130"/>
      <c r="M282" s="1133"/>
      <c r="N282" s="1146"/>
      <c r="O282" s="1130"/>
      <c r="P282" s="1133"/>
      <c r="Q282" s="1126"/>
      <c r="R282" s="1126"/>
      <c r="S282" s="1126"/>
      <c r="T282" s="1126"/>
      <c r="U282" s="1126"/>
      <c r="V282" s="1126"/>
      <c r="W282" s="785"/>
      <c r="X282" s="15"/>
    </row>
    <row r="283" spans="1:62" ht="13" x14ac:dyDescent="0.3">
      <c r="A283" s="838"/>
      <c r="B283" s="1126" t="s">
        <v>363</v>
      </c>
      <c r="C283" s="1126"/>
      <c r="D283" s="1126"/>
      <c r="E283" s="1131"/>
      <c r="F283" s="1126"/>
      <c r="G283" s="1132"/>
      <c r="H283" s="1126"/>
      <c r="I283" s="1126"/>
      <c r="J283" s="1132">
        <v>125000</v>
      </c>
      <c r="K283" s="1126" t="s">
        <v>167</v>
      </c>
      <c r="L283" s="1126"/>
      <c r="M283" s="1126"/>
      <c r="N283" s="1126"/>
      <c r="O283" s="1126"/>
      <c r="P283" s="1126"/>
      <c r="Q283" s="1126"/>
      <c r="R283" s="1126"/>
      <c r="S283" s="1126"/>
      <c r="T283" s="1126"/>
      <c r="U283" s="1126"/>
      <c r="V283" s="1126"/>
      <c r="W283" s="15"/>
      <c r="X283" s="15"/>
    </row>
    <row r="284" spans="1:62" ht="13" x14ac:dyDescent="0.3">
      <c r="A284" s="838"/>
      <c r="B284" s="1126"/>
      <c r="C284" s="1126"/>
      <c r="D284" s="1126"/>
      <c r="E284" s="1131"/>
      <c r="F284" s="1126"/>
      <c r="G284" s="1129" t="s">
        <v>201</v>
      </c>
      <c r="H284" s="1126"/>
      <c r="I284" s="1126"/>
      <c r="J284" s="1129">
        <f>J281+J282+J283</f>
        <v>1836814.02</v>
      </c>
      <c r="K284" s="1126" t="s">
        <v>167</v>
      </c>
      <c r="L284" s="1126"/>
      <c r="M284" s="1126"/>
      <c r="N284" s="1126"/>
      <c r="O284" s="1126"/>
      <c r="P284" s="1126"/>
      <c r="Q284" s="1126"/>
      <c r="R284" s="1126"/>
      <c r="S284" s="1126"/>
      <c r="T284" s="1126"/>
      <c r="U284" s="1126"/>
      <c r="V284" s="1126"/>
      <c r="W284" s="15"/>
      <c r="X284" s="15"/>
    </row>
    <row r="285" spans="1:62" ht="13" x14ac:dyDescent="0.3">
      <c r="A285" s="838"/>
      <c r="B285" s="882"/>
      <c r="C285" s="882"/>
      <c r="D285" s="882"/>
      <c r="E285" s="860"/>
      <c r="F285" s="882"/>
      <c r="G285" s="635"/>
      <c r="H285" s="882"/>
      <c r="I285" s="882"/>
      <c r="J285" s="635"/>
      <c r="K285" s="838"/>
      <c r="W285" t="s">
        <v>397</v>
      </c>
    </row>
    <row r="286" spans="1:62" ht="13.5" thickBot="1" x14ac:dyDescent="0.35">
      <c r="A286" s="838"/>
      <c r="B286" s="882"/>
      <c r="C286" s="882"/>
      <c r="D286" s="882"/>
      <c r="E286" s="860"/>
      <c r="F286" s="882"/>
      <c r="G286" s="635"/>
      <c r="H286" s="882"/>
      <c r="I286" s="882"/>
      <c r="J286" s="635"/>
      <c r="K286" s="838"/>
    </row>
    <row r="287" spans="1:62" ht="13.5" thickBot="1" x14ac:dyDescent="0.35">
      <c r="B287" s="15"/>
      <c r="C287" s="15"/>
      <c r="D287" s="15"/>
      <c r="E287" s="639"/>
      <c r="F287" s="15"/>
      <c r="G287" s="640"/>
      <c r="H287" s="14"/>
      <c r="I287" s="12"/>
      <c r="V287" s="1135" t="s">
        <v>396</v>
      </c>
      <c r="W287" s="1136">
        <v>6360746.79</v>
      </c>
      <c r="X287" s="1136">
        <v>6322635.8899999997</v>
      </c>
      <c r="Z287" s="549"/>
    </row>
    <row r="288" spans="1:62" ht="13.5" thickBot="1" x14ac:dyDescent="0.35">
      <c r="B288" s="15"/>
      <c r="C288" s="15"/>
      <c r="D288" s="15"/>
      <c r="E288" s="639"/>
      <c r="F288" s="15"/>
      <c r="G288" s="640"/>
      <c r="H288" s="14"/>
      <c r="J288" s="968" t="s">
        <v>291</v>
      </c>
      <c r="K288" s="12"/>
      <c r="L288" s="641">
        <v>1945269.6</v>
      </c>
      <c r="M288" s="642">
        <v>972062.4</v>
      </c>
      <c r="N288" s="641">
        <v>973207.2</v>
      </c>
      <c r="O288" s="641">
        <f>P288+Q288</f>
        <v>2659623.6</v>
      </c>
      <c r="P288" s="642">
        <f>1326275.5+8177.18</f>
        <v>1334452.68</v>
      </c>
      <c r="Q288" s="641">
        <f>1317039.6+8131.32</f>
        <v>1325170.9200000002</v>
      </c>
      <c r="R288" s="641">
        <f>S288+T288</f>
        <v>3146693.07</v>
      </c>
      <c r="S288" s="642">
        <v>1572489.68</v>
      </c>
      <c r="T288" s="641">
        <v>1574203.39</v>
      </c>
      <c r="U288" s="12"/>
      <c r="V288" s="1137">
        <f>W288+X288</f>
        <v>3687143.5</v>
      </c>
      <c r="W288" s="1138">
        <v>1850329.48</v>
      </c>
      <c r="X288" s="1138">
        <v>1836814.02</v>
      </c>
      <c r="Y288" s="643">
        <v>1662341.18</v>
      </c>
    </row>
    <row r="289" spans="2:28" ht="13" x14ac:dyDescent="0.3">
      <c r="B289" s="563"/>
      <c r="C289" s="564"/>
      <c r="D289" s="564"/>
      <c r="E289" s="564" t="s">
        <v>44</v>
      </c>
      <c r="F289" s="564"/>
      <c r="G289" s="564"/>
      <c r="H289" s="564"/>
      <c r="I289" s="564"/>
      <c r="J289" s="564"/>
      <c r="K289" s="565"/>
      <c r="L289" s="644" t="s">
        <v>45</v>
      </c>
      <c r="M289" s="645" t="s">
        <v>46</v>
      </c>
      <c r="N289" s="646" t="s">
        <v>46</v>
      </c>
      <c r="O289" s="646" t="s">
        <v>45</v>
      </c>
      <c r="P289" s="645" t="s">
        <v>46</v>
      </c>
      <c r="Q289" s="646" t="s">
        <v>46</v>
      </c>
      <c r="R289" s="646" t="s">
        <v>45</v>
      </c>
      <c r="S289" s="645" t="s">
        <v>46</v>
      </c>
      <c r="T289" s="646" t="s">
        <v>46</v>
      </c>
      <c r="V289" s="962" t="s">
        <v>202</v>
      </c>
      <c r="W289" s="929" t="s">
        <v>47</v>
      </c>
      <c r="X289" s="932" t="s">
        <v>47</v>
      </c>
      <c r="Y289" s="644" t="s">
        <v>46</v>
      </c>
    </row>
    <row r="290" spans="2:28" ht="13.5" thickBot="1" x14ac:dyDescent="0.35">
      <c r="B290" s="527"/>
      <c r="C290" s="356"/>
      <c r="D290" s="356"/>
      <c r="E290" s="356"/>
      <c r="F290" s="356"/>
      <c r="G290" s="356"/>
      <c r="H290" s="356"/>
      <c r="I290" s="356"/>
      <c r="J290" s="356"/>
      <c r="K290" s="569"/>
      <c r="L290" s="647" t="s">
        <v>48</v>
      </c>
      <c r="M290" s="648" t="s">
        <v>49</v>
      </c>
      <c r="N290" s="649" t="s">
        <v>50</v>
      </c>
      <c r="O290" s="649" t="s">
        <v>48</v>
      </c>
      <c r="P290" s="648" t="s">
        <v>49</v>
      </c>
      <c r="Q290" s="649" t="s">
        <v>50</v>
      </c>
      <c r="R290" s="649" t="s">
        <v>48</v>
      </c>
      <c r="S290" s="648" t="s">
        <v>49</v>
      </c>
      <c r="T290" s="649" t="s">
        <v>50</v>
      </c>
      <c r="V290" s="961" t="s">
        <v>48</v>
      </c>
      <c r="W290" s="947" t="s">
        <v>49</v>
      </c>
      <c r="X290" s="948" t="s">
        <v>50</v>
      </c>
      <c r="Y290" s="572" t="s">
        <v>50</v>
      </c>
    </row>
    <row r="291" spans="2:28" ht="16" thickBot="1" x14ac:dyDescent="0.4">
      <c r="B291" s="650" t="s">
        <v>203</v>
      </c>
      <c r="C291" s="651"/>
      <c r="D291" s="651"/>
      <c r="E291" s="651"/>
      <c r="F291" s="651"/>
      <c r="G291" s="651"/>
      <c r="H291" s="651"/>
      <c r="I291" s="651"/>
      <c r="J291" s="651"/>
      <c r="K291" s="652"/>
      <c r="L291" s="653"/>
      <c r="M291" s="654"/>
      <c r="N291" s="511"/>
      <c r="O291" s="511"/>
      <c r="P291" s="654"/>
      <c r="Q291" s="511"/>
      <c r="R291" s="511"/>
      <c r="S291" s="654"/>
      <c r="T291" s="511"/>
      <c r="V291" s="655"/>
      <c r="W291" s="656"/>
      <c r="X291" s="656"/>
      <c r="Y291" s="657"/>
      <c r="Z291" s="1075" t="s">
        <v>394</v>
      </c>
      <c r="AA291" s="593"/>
    </row>
    <row r="292" spans="2:28" ht="15.5" x14ac:dyDescent="0.35">
      <c r="B292" s="658" t="s">
        <v>204</v>
      </c>
      <c r="C292" s="659"/>
      <c r="D292" s="659"/>
      <c r="E292" s="660"/>
      <c r="F292" s="660"/>
      <c r="G292" s="660"/>
      <c r="H292" s="660"/>
      <c r="I292" s="660"/>
      <c r="J292" s="660"/>
      <c r="K292" s="661"/>
      <c r="L292" s="588">
        <f>M292+N292</f>
        <v>148000</v>
      </c>
      <c r="M292" s="162">
        <v>142000</v>
      </c>
      <c r="N292" s="165">
        <v>6000</v>
      </c>
      <c r="O292" s="662">
        <f t="shared" ref="O292:O299" si="32">P292+Q292</f>
        <v>314509.27</v>
      </c>
      <c r="P292" s="663">
        <v>220179.27</v>
      </c>
      <c r="Q292" s="662">
        <v>94330</v>
      </c>
      <c r="R292" s="326">
        <f t="shared" ref="R292:R299" si="33">S292+T292</f>
        <v>377411.12400000001</v>
      </c>
      <c r="S292" s="664">
        <f>220179.27/10*12</f>
        <v>264215.12400000001</v>
      </c>
      <c r="T292" s="326">
        <f>94330/10*12</f>
        <v>113196</v>
      </c>
      <c r="V292" s="1031">
        <f>W292+X292</f>
        <v>417000</v>
      </c>
      <c r="W292" s="1038">
        <f>W294+W295</f>
        <v>315000</v>
      </c>
      <c r="X292" s="1038">
        <f>X294+X295</f>
        <v>102000</v>
      </c>
      <c r="Y292" s="665"/>
      <c r="Z292" s="1081" t="s">
        <v>337</v>
      </c>
      <c r="AA292" s="1081" t="s">
        <v>338</v>
      </c>
    </row>
    <row r="293" spans="2:28" ht="13" x14ac:dyDescent="0.3">
      <c r="B293" s="666" t="s">
        <v>205</v>
      </c>
      <c r="C293" s="667"/>
      <c r="D293" s="667"/>
      <c r="E293" s="667"/>
      <c r="F293" s="667"/>
      <c r="G293" s="668"/>
      <c r="H293" s="668"/>
      <c r="I293" s="668"/>
      <c r="J293" s="668"/>
      <c r="K293" s="665"/>
      <c r="L293" s="588">
        <f>M293+N293</f>
        <v>300000</v>
      </c>
      <c r="M293" s="162">
        <v>200000</v>
      </c>
      <c r="N293" s="165">
        <v>100000</v>
      </c>
      <c r="O293" s="662">
        <f t="shared" si="32"/>
        <v>92271.28</v>
      </c>
      <c r="P293" s="663">
        <v>10400</v>
      </c>
      <c r="Q293" s="662">
        <f>58171.28+12000+11700</f>
        <v>81871.28</v>
      </c>
      <c r="R293" s="326">
        <f t="shared" si="33"/>
        <v>110645.54</v>
      </c>
      <c r="S293" s="664">
        <v>12400</v>
      </c>
      <c r="T293" s="326">
        <v>98245.54</v>
      </c>
      <c r="U293" t="s">
        <v>206</v>
      </c>
      <c r="V293" s="669"/>
      <c r="W293" s="670"/>
      <c r="X293" s="670"/>
      <c r="Y293" s="668"/>
      <c r="Z293" s="1088"/>
      <c r="AA293" s="1088"/>
    </row>
    <row r="294" spans="2:28" ht="13" x14ac:dyDescent="0.3">
      <c r="B294" s="1797" t="s">
        <v>207</v>
      </c>
      <c r="C294" s="1798"/>
      <c r="D294" s="1798"/>
      <c r="E294" s="1798"/>
      <c r="F294" s="1799"/>
      <c r="G294" s="1800"/>
      <c r="H294" s="1801"/>
      <c r="I294" s="671"/>
      <c r="J294" s="672"/>
      <c r="K294" s="673"/>
      <c r="M294" s="162">
        <v>0</v>
      </c>
      <c r="N294" s="165">
        <v>0</v>
      </c>
      <c r="O294" s="662">
        <f t="shared" si="32"/>
        <v>371649.47</v>
      </c>
      <c r="P294" s="663">
        <f>121440+20205.87+3579+3468+1462.5+25740+2000+9667.7</f>
        <v>187563.07</v>
      </c>
      <c r="Q294" s="662">
        <f>6618.5+115920+20205.87+1462.5+10329.53+2730+24570+2250</f>
        <v>184086.39999999999</v>
      </c>
      <c r="R294" s="326">
        <f t="shared" si="33"/>
        <v>445979.36</v>
      </c>
      <c r="S294" s="664">
        <v>225075.68</v>
      </c>
      <c r="T294" s="326">
        <v>220903.67999999999</v>
      </c>
      <c r="U294" t="s">
        <v>208</v>
      </c>
      <c r="V294" s="1027">
        <v>256000</v>
      </c>
      <c r="W294" s="1039">
        <v>210000</v>
      </c>
      <c r="X294" s="1039">
        <v>46000</v>
      </c>
      <c r="Y294" s="668"/>
      <c r="Z294" s="1088"/>
      <c r="AA294" s="1088"/>
    </row>
    <row r="295" spans="2:28" ht="13" x14ac:dyDescent="0.3">
      <c r="B295" s="666" t="s">
        <v>209</v>
      </c>
      <c r="C295" s="668"/>
      <c r="D295" s="668"/>
      <c r="E295" s="668"/>
      <c r="F295" s="668"/>
      <c r="G295" s="668"/>
      <c r="H295" s="668"/>
      <c r="I295" s="674"/>
      <c r="J295" s="675"/>
      <c r="K295" s="676"/>
      <c r="L295" s="588">
        <f>M295+N295</f>
        <v>260800</v>
      </c>
      <c r="M295" s="162">
        <v>158400</v>
      </c>
      <c r="N295" s="165">
        <v>102400</v>
      </c>
      <c r="O295" s="235">
        <f t="shared" si="32"/>
        <v>181741.78000000003</v>
      </c>
      <c r="P295" s="235">
        <f>P296+P298</f>
        <v>110616.78000000001</v>
      </c>
      <c r="Q295" s="235">
        <f>Q296+Q298</f>
        <v>71125</v>
      </c>
      <c r="R295" s="235">
        <f t="shared" si="33"/>
        <v>218090.16</v>
      </c>
      <c r="S295" s="235">
        <f>S296+S298</f>
        <v>132740.16</v>
      </c>
      <c r="T295" s="235">
        <f>T296+T298</f>
        <v>85350</v>
      </c>
      <c r="U295" s="838"/>
      <c r="V295" s="677"/>
      <c r="W295" s="1040">
        <v>105000</v>
      </c>
      <c r="X295" s="1040">
        <v>56000</v>
      </c>
      <c r="Y295" s="668"/>
      <c r="Z295" s="1088"/>
      <c r="AA295" s="1088"/>
    </row>
    <row r="296" spans="2:28" ht="13" x14ac:dyDescent="0.3">
      <c r="B296" s="666" t="s">
        <v>210</v>
      </c>
      <c r="C296" s="668"/>
      <c r="D296" s="668"/>
      <c r="E296" s="668"/>
      <c r="F296" s="668"/>
      <c r="G296" s="668"/>
      <c r="H296" s="668"/>
      <c r="I296" s="668"/>
      <c r="J296" s="668"/>
      <c r="K296" s="665"/>
      <c r="L296" s="588"/>
      <c r="M296" s="162"/>
      <c r="N296" s="165"/>
      <c r="O296" s="165">
        <f t="shared" si="32"/>
        <v>181741.78000000003</v>
      </c>
      <c r="P296" s="165">
        <f>6407.73+1271.67+15600+20800+9306.62+39000+14850.1+1755.66+575+1050</f>
        <v>110616.78000000001</v>
      </c>
      <c r="Q296" s="165">
        <f>18300+3925+13000+3500+2000+23400+5000+2000</f>
        <v>71125</v>
      </c>
      <c r="R296" s="323">
        <f t="shared" si="33"/>
        <v>218090.16</v>
      </c>
      <c r="S296" s="323">
        <v>132740.16</v>
      </c>
      <c r="T296" s="323">
        <v>85350</v>
      </c>
      <c r="U296" t="s">
        <v>211</v>
      </c>
      <c r="V296" s="678"/>
      <c r="W296" s="670"/>
      <c r="X296" s="670"/>
      <c r="Y296" s="668"/>
      <c r="Z296" s="1193"/>
      <c r="AA296" s="1193">
        <v>64706.400000000001</v>
      </c>
      <c r="AB296" s="1089" t="s">
        <v>341</v>
      </c>
    </row>
    <row r="297" spans="2:28" ht="13.5" thickBot="1" x14ac:dyDescent="0.35">
      <c r="B297" s="100"/>
      <c r="C297" s="101"/>
      <c r="D297" s="101"/>
      <c r="E297" s="101"/>
      <c r="F297" s="101"/>
      <c r="G297" s="101"/>
      <c r="H297" s="101"/>
      <c r="I297" s="101"/>
      <c r="J297" s="101"/>
      <c r="K297" s="679"/>
      <c r="L297" s="588"/>
      <c r="M297" s="162"/>
      <c r="N297" s="165"/>
      <c r="O297" s="165"/>
      <c r="P297" s="162"/>
      <c r="Q297" s="165"/>
      <c r="R297" s="323"/>
      <c r="S297" s="680"/>
      <c r="T297" s="323"/>
      <c r="V297" s="681"/>
      <c r="W297" s="1041"/>
      <c r="X297" s="1041"/>
      <c r="Y297" s="668"/>
      <c r="Z297" s="1193"/>
      <c r="AA297" s="1193"/>
    </row>
    <row r="298" spans="2:28" ht="15.5" x14ac:dyDescent="0.35">
      <c r="B298" s="683" t="s">
        <v>212</v>
      </c>
      <c r="C298" s="659"/>
      <c r="D298" s="659"/>
      <c r="E298" s="659"/>
      <c r="F298" s="659"/>
      <c r="G298" s="659"/>
      <c r="H298" s="659"/>
      <c r="I298" s="659"/>
      <c r="J298" s="659"/>
      <c r="K298" s="656"/>
      <c r="L298" s="588"/>
      <c r="M298" s="162"/>
      <c r="N298" s="165"/>
      <c r="O298" s="165">
        <f t="shared" si="32"/>
        <v>0</v>
      </c>
      <c r="P298" s="162">
        <v>0</v>
      </c>
      <c r="Q298" s="165">
        <v>0</v>
      </c>
      <c r="R298" s="323">
        <f t="shared" si="33"/>
        <v>0</v>
      </c>
      <c r="S298" s="680">
        <v>0</v>
      </c>
      <c r="T298" s="323">
        <v>0</v>
      </c>
      <c r="V298" s="684">
        <f>W298+X298</f>
        <v>0</v>
      </c>
      <c r="W298" s="1042">
        <f>W300+W299</f>
        <v>0</v>
      </c>
      <c r="X298" s="1042">
        <f>X300+X299</f>
        <v>0</v>
      </c>
      <c r="Y298" s="668"/>
      <c r="Z298" s="1193"/>
      <c r="AA298" s="1193"/>
    </row>
    <row r="299" spans="2:28" ht="13" x14ac:dyDescent="0.3">
      <c r="B299" s="503" t="s">
        <v>213</v>
      </c>
      <c r="C299" s="51"/>
      <c r="D299" s="51"/>
      <c r="E299" s="51"/>
      <c r="F299" s="51"/>
      <c r="G299" s="51"/>
      <c r="H299" s="51"/>
      <c r="I299" s="51"/>
      <c r="J299" s="51"/>
      <c r="K299" s="685"/>
      <c r="L299" s="588">
        <f>M299+N299</f>
        <v>0</v>
      </c>
      <c r="M299" s="162">
        <f>M300</f>
        <v>0</v>
      </c>
      <c r="N299" s="165">
        <v>0</v>
      </c>
      <c r="O299" s="165">
        <f t="shared" si="32"/>
        <v>0</v>
      </c>
      <c r="P299" s="162">
        <v>0</v>
      </c>
      <c r="Q299" s="165">
        <v>0</v>
      </c>
      <c r="R299" s="323">
        <f t="shared" si="33"/>
        <v>0</v>
      </c>
      <c r="S299" s="680">
        <v>0</v>
      </c>
      <c r="T299" s="323">
        <v>0</v>
      </c>
      <c r="V299" s="686">
        <v>0</v>
      </c>
      <c r="W299" s="1043">
        <v>0</v>
      </c>
      <c r="X299" s="1039">
        <v>0</v>
      </c>
      <c r="Y299" s="668"/>
      <c r="Z299" s="1193"/>
      <c r="AA299" s="1193"/>
    </row>
    <row r="300" spans="2:28" ht="13" x14ac:dyDescent="0.3">
      <c r="B300" s="503" t="s">
        <v>214</v>
      </c>
      <c r="C300" s="51"/>
      <c r="D300" s="51"/>
      <c r="E300" s="51"/>
      <c r="F300" s="842"/>
      <c r="G300" s="842"/>
      <c r="H300" s="51"/>
      <c r="I300" s="51"/>
      <c r="J300" s="51"/>
      <c r="K300" s="685"/>
      <c r="L300" s="588"/>
      <c r="M300" s="162"/>
      <c r="N300" s="165"/>
      <c r="O300" s="165"/>
      <c r="P300" s="162"/>
      <c r="Q300" s="165"/>
      <c r="R300" s="323"/>
      <c r="S300" s="680"/>
      <c r="T300" s="323"/>
      <c r="V300" s="678"/>
      <c r="W300" s="670"/>
      <c r="X300" s="670"/>
      <c r="Y300" s="665"/>
      <c r="Z300" s="838"/>
      <c r="AA300" s="838"/>
    </row>
    <row r="301" spans="2:28" ht="13.5" thickBot="1" x14ac:dyDescent="0.35">
      <c r="B301" s="687"/>
      <c r="C301" s="101"/>
      <c r="D301" s="101"/>
      <c r="E301" s="101"/>
      <c r="F301" s="844"/>
      <c r="G301" s="844"/>
      <c r="H301" s="101"/>
      <c r="I301" s="101"/>
      <c r="J301" s="101"/>
      <c r="K301" s="679"/>
      <c r="L301" s="579"/>
      <c r="M301" s="579"/>
      <c r="N301" s="579"/>
      <c r="O301" s="165"/>
      <c r="P301" s="688"/>
      <c r="Q301" s="688"/>
      <c r="R301" s="323"/>
      <c r="S301" s="689"/>
      <c r="T301" s="689"/>
      <c r="V301" s="681"/>
      <c r="W301" s="1041"/>
      <c r="X301" s="1041"/>
      <c r="Y301" s="665"/>
    </row>
    <row r="302" spans="2:28" ht="15.5" x14ac:dyDescent="0.35">
      <c r="B302" s="683" t="s">
        <v>215</v>
      </c>
      <c r="C302" s="660"/>
      <c r="D302" s="660"/>
      <c r="E302" s="659"/>
      <c r="F302" s="849"/>
      <c r="G302" s="690"/>
      <c r="H302" s="849"/>
      <c r="I302" s="849"/>
      <c r="J302" s="849"/>
      <c r="K302" s="894"/>
      <c r="O302" s="165">
        <f>P302+Q302</f>
        <v>0</v>
      </c>
      <c r="P302" s="688">
        <f>P304+P305</f>
        <v>0</v>
      </c>
      <c r="Q302" s="688">
        <f>Q304+Q305</f>
        <v>0</v>
      </c>
      <c r="R302" s="323">
        <f>S302+T302</f>
        <v>0</v>
      </c>
      <c r="S302" s="689">
        <f>S304+S305</f>
        <v>0</v>
      </c>
      <c r="T302" s="689">
        <f>T304+T305</f>
        <v>0</v>
      </c>
      <c r="V302" s="1030">
        <f>W302+X302</f>
        <v>1200000</v>
      </c>
      <c r="W302" s="1044">
        <f>W303+W304+W305</f>
        <v>590000</v>
      </c>
      <c r="X302" s="1044">
        <f>X303+X304+X305</f>
        <v>610000</v>
      </c>
      <c r="Y302" s="665"/>
      <c r="Z302" s="1075" t="s">
        <v>394</v>
      </c>
      <c r="AA302" s="593"/>
    </row>
    <row r="303" spans="2:28" ht="13" x14ac:dyDescent="0.3">
      <c r="B303" s="691" t="s">
        <v>216</v>
      </c>
      <c r="C303" s="692"/>
      <c r="D303" s="692"/>
      <c r="E303" s="692"/>
      <c r="F303" s="51"/>
      <c r="G303" s="51"/>
      <c r="H303" s="842"/>
      <c r="I303" s="842"/>
      <c r="J303" s="842"/>
      <c r="K303" s="864"/>
      <c r="O303" s="165"/>
      <c r="P303" s="162"/>
      <c r="Q303" s="165"/>
      <c r="R303" s="323"/>
      <c r="S303" s="680"/>
      <c r="T303" s="323"/>
      <c r="V303" s="709">
        <f>W303+X303</f>
        <v>460000</v>
      </c>
      <c r="W303" s="1045">
        <v>210000</v>
      </c>
      <c r="X303" s="1045">
        <v>250000</v>
      </c>
      <c r="Y303" s="1029"/>
      <c r="Z303" s="1081" t="s">
        <v>337</v>
      </c>
      <c r="AA303" s="1081"/>
    </row>
    <row r="304" spans="2:28" s="104" customFormat="1" ht="13" x14ac:dyDescent="0.3">
      <c r="B304" s="693" t="s">
        <v>217</v>
      </c>
      <c r="C304" s="694"/>
      <c r="D304" s="694"/>
      <c r="E304" s="694"/>
      <c r="F304" s="694"/>
      <c r="G304" s="694"/>
      <c r="H304" s="694"/>
      <c r="I304" s="694"/>
      <c r="J304" s="694"/>
      <c r="K304" s="695"/>
      <c r="L304"/>
      <c r="M304"/>
      <c r="N304"/>
      <c r="O304" s="165">
        <f>P304+Q304</f>
        <v>0</v>
      </c>
      <c r="P304" s="162">
        <v>0</v>
      </c>
      <c r="Q304" s="165">
        <v>0</v>
      </c>
      <c r="R304" s="323">
        <f>S304+T304</f>
        <v>0</v>
      </c>
      <c r="S304" s="680">
        <v>0</v>
      </c>
      <c r="T304" s="323">
        <v>0</v>
      </c>
      <c r="V304" s="709">
        <f>W304+X304</f>
        <v>240000</v>
      </c>
      <c r="W304" s="1045">
        <v>130000</v>
      </c>
      <c r="X304" s="1045">
        <v>110000</v>
      </c>
      <c r="Y304" s="1092"/>
      <c r="Z304" s="1088">
        <v>39923</v>
      </c>
      <c r="AA304" s="1088"/>
    </row>
    <row r="305" spans="2:33" ht="13" x14ac:dyDescent="0.3">
      <c r="B305" s="693" t="s">
        <v>311</v>
      </c>
      <c r="C305" s="697"/>
      <c r="D305" s="697"/>
      <c r="E305" s="63"/>
      <c r="F305" s="63"/>
      <c r="G305" s="63"/>
      <c r="H305" s="63"/>
      <c r="I305" s="63"/>
      <c r="J305" s="842"/>
      <c r="K305" s="864"/>
      <c r="O305" s="165">
        <f>P305+Q305</f>
        <v>0</v>
      </c>
      <c r="P305" s="162">
        <v>0</v>
      </c>
      <c r="Q305" s="165">
        <v>0</v>
      </c>
      <c r="R305" s="323">
        <f>S305+T305</f>
        <v>0</v>
      </c>
      <c r="S305" s="680">
        <v>0</v>
      </c>
      <c r="T305" s="323">
        <v>0</v>
      </c>
      <c r="V305" s="709">
        <v>500000</v>
      </c>
      <c r="W305" s="1045">
        <v>250000</v>
      </c>
      <c r="X305" s="1045">
        <v>250000</v>
      </c>
      <c r="Y305" s="1093"/>
      <c r="Z305" s="1088"/>
      <c r="AA305" s="1088"/>
    </row>
    <row r="306" spans="2:33" ht="13" x14ac:dyDescent="0.3">
      <c r="B306" s="503" t="s">
        <v>218</v>
      </c>
      <c r="C306" s="698"/>
      <c r="D306" s="698"/>
      <c r="E306" s="32"/>
      <c r="F306" s="32"/>
      <c r="G306" s="842"/>
      <c r="H306" s="842"/>
      <c r="I306" s="842"/>
      <c r="J306" s="842"/>
      <c r="K306" s="864"/>
      <c r="O306" s="165"/>
      <c r="P306" s="162"/>
      <c r="Q306" s="165"/>
      <c r="R306" s="323"/>
      <c r="S306" s="680"/>
      <c r="T306" s="323"/>
      <c r="V306" s="699">
        <f>W306+X306</f>
        <v>0</v>
      </c>
      <c r="W306" s="1046"/>
      <c r="X306" s="1046">
        <f>X307</f>
        <v>0</v>
      </c>
      <c r="Y306" s="668"/>
      <c r="Z306" s="1088"/>
      <c r="AA306" s="1088"/>
    </row>
    <row r="307" spans="2:33" ht="13" x14ac:dyDescent="0.3">
      <c r="B307" s="85" t="s">
        <v>219</v>
      </c>
      <c r="C307" s="322"/>
      <c r="D307" s="322"/>
      <c r="E307" s="842"/>
      <c r="F307" s="842"/>
      <c r="G307" s="842"/>
      <c r="H307" s="842"/>
      <c r="I307" s="842"/>
      <c r="J307" s="842"/>
      <c r="K307" s="864"/>
      <c r="O307" s="165"/>
      <c r="P307" s="162"/>
      <c r="Q307" s="165"/>
      <c r="R307" s="323"/>
      <c r="S307" s="680"/>
      <c r="T307" s="323"/>
      <c r="V307" s="699"/>
      <c r="W307" s="1046"/>
      <c r="X307" s="1046"/>
      <c r="Y307" s="668"/>
      <c r="Z307" s="1193"/>
      <c r="AA307" s="1193"/>
    </row>
    <row r="308" spans="2:33" ht="13" x14ac:dyDescent="0.3">
      <c r="B308" s="700" t="s">
        <v>220</v>
      </c>
      <c r="C308" s="95"/>
      <c r="D308" s="322"/>
      <c r="E308" s="322"/>
      <c r="F308" s="322"/>
      <c r="G308" s="322"/>
      <c r="H308" s="322"/>
      <c r="I308" s="322"/>
      <c r="J308" s="322"/>
      <c r="K308" s="695"/>
      <c r="O308" s="165"/>
      <c r="P308" s="162"/>
      <c r="Q308" s="165"/>
      <c r="R308" s="323"/>
      <c r="S308" s="680"/>
      <c r="T308" s="323"/>
      <c r="V308" s="699">
        <v>40000</v>
      </c>
      <c r="W308" s="1046">
        <f>W309</f>
        <v>20000</v>
      </c>
      <c r="X308" s="1046">
        <f>X309</f>
        <v>20000</v>
      </c>
      <c r="Y308" s="668"/>
      <c r="Z308" s="1193"/>
      <c r="AA308" s="1193"/>
    </row>
    <row r="309" spans="2:33" ht="13" x14ac:dyDescent="0.3">
      <c r="B309" s="85" t="s">
        <v>221</v>
      </c>
      <c r="C309" s="322"/>
      <c r="D309" s="322"/>
      <c r="E309" s="322"/>
      <c r="F309" s="322"/>
      <c r="G309" s="322"/>
      <c r="H309" s="322"/>
      <c r="I309" s="322"/>
      <c r="J309" s="322"/>
      <c r="K309" s="695"/>
      <c r="L309" s="588"/>
      <c r="M309" s="162"/>
      <c r="N309" s="165"/>
      <c r="O309" s="339">
        <f>P309+Q309</f>
        <v>63600</v>
      </c>
      <c r="P309" s="701"/>
      <c r="Q309" s="339">
        <f>23600+40000</f>
        <v>63600</v>
      </c>
      <c r="R309" s="326">
        <f>S309+T309</f>
        <v>76320</v>
      </c>
      <c r="S309" s="664"/>
      <c r="T309" s="326">
        <v>76320</v>
      </c>
      <c r="V309" s="699">
        <v>40000</v>
      </c>
      <c r="W309" s="1046">
        <v>20000</v>
      </c>
      <c r="X309" s="1046">
        <v>20000</v>
      </c>
      <c r="Y309" s="668"/>
      <c r="Z309" s="1193"/>
      <c r="AA309" s="1783" t="s">
        <v>340</v>
      </c>
      <c r="AB309" s="1784"/>
    </row>
    <row r="310" spans="2:33" ht="13" x14ac:dyDescent="0.3">
      <c r="B310" s="97"/>
      <c r="C310" s="51"/>
      <c r="D310" s="51"/>
      <c r="E310" s="51"/>
      <c r="F310" s="51"/>
      <c r="G310" s="51"/>
      <c r="H310" s="51"/>
      <c r="I310" s="51"/>
      <c r="J310" s="51"/>
      <c r="K310" s="685"/>
      <c r="L310" s="588">
        <f>M310+N310</f>
        <v>0</v>
      </c>
      <c r="M310" s="162">
        <f>M313+M314+M316</f>
        <v>0</v>
      </c>
      <c r="N310" s="165">
        <f>N313+N314+N316</f>
        <v>0</v>
      </c>
      <c r="O310" s="662">
        <f>P310+Q310</f>
        <v>48790</v>
      </c>
      <c r="P310" s="663">
        <v>48790</v>
      </c>
      <c r="Q310" s="662">
        <f>Q313+Q314+Q316</f>
        <v>0</v>
      </c>
      <c r="R310" s="326">
        <f>S310+T310</f>
        <v>58548</v>
      </c>
      <c r="S310" s="664">
        <v>58548</v>
      </c>
      <c r="T310" s="326">
        <f>T313+T314+T316</f>
        <v>0</v>
      </c>
      <c r="U310" t="s">
        <v>222</v>
      </c>
      <c r="V310" s="699"/>
      <c r="W310" s="1046"/>
      <c r="X310" s="1046"/>
      <c r="Y310" s="668"/>
      <c r="Z310" s="1075" t="s">
        <v>394</v>
      </c>
      <c r="AA310" s="1193"/>
    </row>
    <row r="311" spans="2:33" ht="13.5" thickBot="1" x14ac:dyDescent="0.35">
      <c r="B311" s="100"/>
      <c r="C311" s="101"/>
      <c r="D311" s="101"/>
      <c r="E311" s="101"/>
      <c r="F311" s="101"/>
      <c r="G311" s="101"/>
      <c r="H311" s="101"/>
      <c r="I311" s="101"/>
      <c r="J311" s="101"/>
      <c r="K311" s="679"/>
      <c r="L311" s="588">
        <v>0</v>
      </c>
      <c r="M311" s="162">
        <v>0</v>
      </c>
      <c r="N311" s="165">
        <v>0</v>
      </c>
      <c r="O311" s="165">
        <v>0</v>
      </c>
      <c r="P311" s="162">
        <v>0</v>
      </c>
      <c r="Q311" s="165">
        <v>0</v>
      </c>
      <c r="R311" s="323">
        <v>0</v>
      </c>
      <c r="S311" s="680">
        <v>0</v>
      </c>
      <c r="T311" s="323">
        <v>0</v>
      </c>
      <c r="V311" s="699"/>
      <c r="W311" s="1046"/>
      <c r="X311" s="1046"/>
      <c r="Y311" s="665"/>
      <c r="Z311" s="1081" t="s">
        <v>337</v>
      </c>
      <c r="AA311" s="1081" t="s">
        <v>338</v>
      </c>
    </row>
    <row r="312" spans="2:33" ht="15.5" x14ac:dyDescent="0.35">
      <c r="B312" s="650" t="s">
        <v>223</v>
      </c>
      <c r="C312" s="651"/>
      <c r="D312" s="651"/>
      <c r="E312" s="651"/>
      <c r="F312" s="651"/>
      <c r="G312" s="651"/>
      <c r="H312" s="659"/>
      <c r="I312" s="659"/>
      <c r="J312" s="659"/>
      <c r="K312" s="656"/>
      <c r="L312" s="588">
        <v>0</v>
      </c>
      <c r="M312" s="162">
        <v>0</v>
      </c>
      <c r="N312" s="165">
        <v>0</v>
      </c>
      <c r="O312" s="165">
        <v>0</v>
      </c>
      <c r="P312" s="162">
        <v>0</v>
      </c>
      <c r="Q312" s="165">
        <v>0</v>
      </c>
      <c r="R312" s="323">
        <v>0</v>
      </c>
      <c r="S312" s="680">
        <v>0</v>
      </c>
      <c r="T312" s="323">
        <v>0</v>
      </c>
      <c r="V312" s="1028">
        <f>W312+X312</f>
        <v>230000</v>
      </c>
      <c r="W312" s="1047">
        <v>110000</v>
      </c>
      <c r="X312" s="1047">
        <v>120000</v>
      </c>
      <c r="Y312" s="665"/>
      <c r="Z312" s="1166">
        <v>84404</v>
      </c>
      <c r="AA312" s="1166">
        <v>127010</v>
      </c>
    </row>
    <row r="313" spans="2:33" ht="14" x14ac:dyDescent="0.3">
      <c r="B313" s="97" t="s">
        <v>310</v>
      </c>
      <c r="C313" s="51"/>
      <c r="D313" s="51"/>
      <c r="E313" s="51"/>
      <c r="F313" s="51"/>
      <c r="G313" s="51"/>
      <c r="H313" s="51"/>
      <c r="I313" s="51"/>
      <c r="J313" s="51"/>
      <c r="K313" s="685"/>
      <c r="L313" s="588">
        <v>0</v>
      </c>
      <c r="M313" s="162">
        <v>0</v>
      </c>
      <c r="N313" s="165">
        <v>0</v>
      </c>
      <c r="O313" s="165">
        <v>0</v>
      </c>
      <c r="P313" s="162">
        <v>0</v>
      </c>
      <c r="Q313" s="165">
        <v>0</v>
      </c>
      <c r="R313" s="323">
        <v>0</v>
      </c>
      <c r="S313" s="680">
        <v>0</v>
      </c>
      <c r="T313" s="323">
        <v>0</v>
      </c>
      <c r="V313" s="702"/>
      <c r="W313" s="1048"/>
      <c r="X313" s="1048"/>
      <c r="Y313" s="703">
        <v>9145</v>
      </c>
      <c r="Z313" s="838"/>
      <c r="AA313" s="838"/>
    </row>
    <row r="314" spans="2:33" ht="13" x14ac:dyDescent="0.3">
      <c r="B314" s="97" t="s">
        <v>224</v>
      </c>
      <c r="C314" s="51"/>
      <c r="D314" s="51"/>
      <c r="E314" s="51"/>
      <c r="F314" s="51"/>
      <c r="G314" s="51"/>
      <c r="H314" s="51"/>
      <c r="I314" s="51"/>
      <c r="J314" s="51"/>
      <c r="K314" s="685"/>
      <c r="L314" s="588">
        <v>0</v>
      </c>
      <c r="M314" s="162">
        <v>0</v>
      </c>
      <c r="N314" s="165">
        <v>0</v>
      </c>
      <c r="O314" s="165">
        <v>0</v>
      </c>
      <c r="P314" s="162">
        <v>0</v>
      </c>
      <c r="Q314" s="165">
        <v>0</v>
      </c>
      <c r="R314" s="323">
        <v>0</v>
      </c>
      <c r="S314" s="680">
        <v>0</v>
      </c>
      <c r="T314" s="323">
        <v>0</v>
      </c>
      <c r="V314" s="699"/>
      <c r="W314" s="1046"/>
      <c r="X314" s="1046"/>
      <c r="Y314" s="665"/>
      <c r="Z314" s="891"/>
      <c r="AA314" s="842"/>
      <c r="AB314" s="842"/>
      <c r="AC314" s="838"/>
      <c r="AD314" s="838"/>
      <c r="AE314" s="838"/>
      <c r="AF314" s="838"/>
      <c r="AG314" s="838"/>
    </row>
    <row r="315" spans="2:33" ht="13.5" thickBot="1" x14ac:dyDescent="0.35">
      <c r="B315" s="100"/>
      <c r="C315" s="101"/>
      <c r="D315" s="101"/>
      <c r="E315" s="101"/>
      <c r="F315" s="101"/>
      <c r="G315" s="101"/>
      <c r="H315" s="101"/>
      <c r="I315" s="101"/>
      <c r="J315" s="101"/>
      <c r="K315" s="679"/>
      <c r="L315" s="588"/>
      <c r="M315" s="162"/>
      <c r="N315" s="165"/>
      <c r="O315" s="165"/>
      <c r="P315" s="162"/>
      <c r="Q315" s="165"/>
      <c r="R315" s="323"/>
      <c r="S315" s="680"/>
      <c r="T315" s="323"/>
      <c r="V315" s="704"/>
      <c r="W315" s="1049"/>
      <c r="X315" s="1049"/>
      <c r="Y315" s="665"/>
      <c r="Z315" s="321"/>
      <c r="AA315" s="842"/>
      <c r="AB315" s="842"/>
      <c r="AC315" s="838"/>
      <c r="AD315" s="838"/>
      <c r="AE315" s="838"/>
      <c r="AF315" s="838"/>
      <c r="AG315" s="838"/>
    </row>
    <row r="316" spans="2:33" ht="15.5" x14ac:dyDescent="0.35">
      <c r="B316" s="1785" t="s">
        <v>225</v>
      </c>
      <c r="C316" s="1786"/>
      <c r="D316" s="1786"/>
      <c r="E316" s="1786"/>
      <c r="F316" s="1786"/>
      <c r="G316" s="1786"/>
      <c r="H316" s="1786"/>
      <c r="I316" s="1786"/>
      <c r="J316" s="1786"/>
      <c r="K316" s="1787"/>
      <c r="L316" s="588">
        <v>0</v>
      </c>
      <c r="M316" s="162">
        <v>0</v>
      </c>
      <c r="N316" s="165">
        <v>0</v>
      </c>
      <c r="O316" s="165">
        <v>0</v>
      </c>
      <c r="P316" s="162">
        <v>0</v>
      </c>
      <c r="Q316" s="165">
        <v>0</v>
      </c>
      <c r="R316" s="323">
        <v>0</v>
      </c>
      <c r="S316" s="680">
        <v>0</v>
      </c>
      <c r="T316" s="323">
        <v>0</v>
      </c>
      <c r="V316" s="1032">
        <f>W316+X316</f>
        <v>100000</v>
      </c>
      <c r="W316" s="1050">
        <f>W317</f>
        <v>50000</v>
      </c>
      <c r="X316" s="1050">
        <f>X317</f>
        <v>50000</v>
      </c>
      <c r="Y316" s="665"/>
    </row>
    <row r="317" spans="2:33" ht="15.5" x14ac:dyDescent="0.35">
      <c r="B317" s="706" t="s">
        <v>226</v>
      </c>
      <c r="C317" s="707"/>
      <c r="D317" s="707"/>
      <c r="E317" s="707"/>
      <c r="F317" s="707"/>
      <c r="G317" s="707"/>
      <c r="H317" s="707"/>
      <c r="I317" s="708" t="s">
        <v>227</v>
      </c>
      <c r="J317" s="1190"/>
      <c r="K317" s="1191"/>
      <c r="L317" s="588"/>
      <c r="M317" s="162"/>
      <c r="N317" s="165"/>
      <c r="O317" s="165"/>
      <c r="P317" s="162"/>
      <c r="Q317" s="165"/>
      <c r="R317" s="323"/>
      <c r="S317" s="680"/>
      <c r="T317" s="323"/>
      <c r="V317" s="1027">
        <f>W317+X317</f>
        <v>100000</v>
      </c>
      <c r="W317" s="1051">
        <v>50000</v>
      </c>
      <c r="X317" s="1051">
        <v>50000</v>
      </c>
      <c r="Y317" s="665"/>
    </row>
    <row r="318" spans="2:33" ht="15.5" x14ac:dyDescent="0.35">
      <c r="B318" s="706" t="s">
        <v>228</v>
      </c>
      <c r="C318" s="707"/>
      <c r="D318" s="707"/>
      <c r="E318" s="707"/>
      <c r="F318" s="707"/>
      <c r="G318" s="707"/>
      <c r="H318" s="707"/>
      <c r="J318" s="1190"/>
      <c r="K318" s="1191"/>
      <c r="L318" s="588"/>
      <c r="M318" s="162"/>
      <c r="N318" s="165"/>
      <c r="O318" s="165"/>
      <c r="P318" s="162"/>
      <c r="Q318" s="165"/>
      <c r="R318" s="323"/>
      <c r="S318" s="680"/>
      <c r="T318" s="323"/>
      <c r="V318" s="709"/>
      <c r="W318" s="1045"/>
      <c r="X318" s="1045"/>
      <c r="Y318" s="710"/>
    </row>
    <row r="319" spans="2:33" ht="13" customHeight="1" x14ac:dyDescent="0.3">
      <c r="B319" s="97" t="s">
        <v>229</v>
      </c>
      <c r="C319" s="51"/>
      <c r="D319" s="51"/>
      <c r="E319" s="51"/>
      <c r="F319" s="51"/>
      <c r="G319" s="51"/>
      <c r="H319" s="51"/>
      <c r="I319" s="51"/>
      <c r="J319" s="51"/>
      <c r="K319" s="685"/>
      <c r="L319" s="588">
        <f>M319+N319</f>
        <v>0</v>
      </c>
      <c r="M319" s="162">
        <v>0</v>
      </c>
      <c r="N319" s="165">
        <v>0</v>
      </c>
      <c r="O319" s="339">
        <f>P319+Q319</f>
        <v>0</v>
      </c>
      <c r="P319" s="701">
        <v>0</v>
      </c>
      <c r="Q319" s="339">
        <v>0</v>
      </c>
      <c r="R319" s="326">
        <f>S319+T319</f>
        <v>0</v>
      </c>
      <c r="S319" s="664">
        <v>0</v>
      </c>
      <c r="T319" s="326">
        <v>0</v>
      </c>
      <c r="V319" s="678"/>
      <c r="W319" s="670"/>
      <c r="X319" s="670"/>
      <c r="Y319" s="665"/>
    </row>
    <row r="320" spans="2:33" ht="13" customHeight="1" x14ac:dyDescent="0.3">
      <c r="B320" s="85" t="s">
        <v>230</v>
      </c>
      <c r="C320" s="51"/>
      <c r="D320" s="51"/>
      <c r="E320" s="51"/>
      <c r="F320" s="51"/>
      <c r="G320" s="51"/>
      <c r="H320" s="51"/>
      <c r="I320" s="51"/>
      <c r="J320" s="51"/>
      <c r="K320" s="685"/>
      <c r="L320" s="588"/>
      <c r="M320" s="162"/>
      <c r="N320" s="165"/>
      <c r="O320" s="339"/>
      <c r="P320" s="701"/>
      <c r="Q320" s="339"/>
      <c r="R320" s="326"/>
      <c r="S320" s="664"/>
      <c r="T320" s="326"/>
      <c r="V320" s="678"/>
      <c r="W320" s="670"/>
      <c r="X320" s="670"/>
      <c r="Y320" s="665"/>
      <c r="Z320" s="1075"/>
      <c r="AA320" s="593"/>
    </row>
    <row r="321" spans="2:36" ht="13" customHeight="1" thickBot="1" x14ac:dyDescent="0.35">
      <c r="B321" s="97"/>
      <c r="C321" s="51"/>
      <c r="D321" s="51"/>
      <c r="E321" s="51"/>
      <c r="F321" s="51"/>
      <c r="G321" s="51"/>
      <c r="H321" s="51"/>
      <c r="I321" s="51"/>
      <c r="J321" s="51"/>
      <c r="K321" s="685"/>
      <c r="L321" s="588"/>
      <c r="M321" s="162"/>
      <c r="N321" s="165"/>
      <c r="O321" s="339"/>
      <c r="P321" s="701"/>
      <c r="Q321" s="339"/>
      <c r="R321" s="326"/>
      <c r="S321" s="664"/>
      <c r="T321" s="326"/>
      <c r="V321" s="681"/>
      <c r="W321" s="1041"/>
      <c r="X321" s="1041"/>
      <c r="Y321" s="665"/>
      <c r="Z321" s="1081"/>
      <c r="AA321" s="1081"/>
    </row>
    <row r="322" spans="2:36" ht="15.5" x14ac:dyDescent="0.35">
      <c r="B322" s="650" t="s">
        <v>231</v>
      </c>
      <c r="C322" s="651"/>
      <c r="D322" s="651"/>
      <c r="E322" s="651"/>
      <c r="F322" s="660"/>
      <c r="G322" s="660"/>
      <c r="H322" s="660"/>
      <c r="I322" s="660"/>
      <c r="J322" s="660"/>
      <c r="K322" s="661"/>
      <c r="L322" s="588">
        <v>0</v>
      </c>
      <c r="M322" s="162"/>
      <c r="N322" s="165"/>
      <c r="O322" s="165">
        <v>0</v>
      </c>
      <c r="P322" s="162"/>
      <c r="Q322" s="165"/>
      <c r="R322" s="323">
        <v>0</v>
      </c>
      <c r="S322" s="680"/>
      <c r="T322" s="323"/>
      <c r="V322" s="711">
        <f>W322</f>
        <v>0</v>
      </c>
      <c r="W322" s="1052">
        <f>W324</f>
        <v>0</v>
      </c>
      <c r="X322" s="1052">
        <f>X324</f>
        <v>0</v>
      </c>
      <c r="Y322" s="665"/>
      <c r="Z322" s="1088"/>
      <c r="AA322" s="1088"/>
    </row>
    <row r="323" spans="2:36" ht="13" x14ac:dyDescent="0.3">
      <c r="B323" s="503" t="s">
        <v>232</v>
      </c>
      <c r="C323" s="322"/>
      <c r="D323" s="322"/>
      <c r="E323" s="322"/>
      <c r="F323" s="322"/>
      <c r="G323" s="322"/>
      <c r="H323" s="322"/>
      <c r="I323" s="322"/>
      <c r="J323" s="322"/>
      <c r="K323" s="695"/>
      <c r="L323" s="588"/>
      <c r="M323" s="162">
        <v>0</v>
      </c>
      <c r="N323" s="165">
        <v>0</v>
      </c>
      <c r="O323" s="165"/>
      <c r="P323" s="162">
        <v>0</v>
      </c>
      <c r="Q323" s="165">
        <v>0</v>
      </c>
      <c r="R323" s="323"/>
      <c r="S323" s="680">
        <v>0</v>
      </c>
      <c r="T323" s="323">
        <v>0</v>
      </c>
      <c r="V323" s="699"/>
      <c r="W323" s="1046"/>
      <c r="X323" s="1046"/>
      <c r="Y323" s="665"/>
      <c r="AA323" s="1088"/>
      <c r="AB323" s="1088"/>
      <c r="AC323" s="885"/>
      <c r="AD323" s="885"/>
      <c r="AE323" s="885"/>
      <c r="AF323" s="847"/>
      <c r="AG323" s="847"/>
      <c r="AH323" s="885"/>
      <c r="AI323" s="712"/>
    </row>
    <row r="324" spans="2:36" ht="13" x14ac:dyDescent="0.3">
      <c r="B324" s="713"/>
      <c r="C324" s="591"/>
      <c r="D324" s="591" t="s">
        <v>233</v>
      </c>
      <c r="E324" s="322"/>
      <c r="F324" s="322"/>
      <c r="G324" s="322"/>
      <c r="H324" s="322"/>
      <c r="I324" s="322"/>
      <c r="J324" s="322"/>
      <c r="K324" s="695"/>
      <c r="L324" s="588">
        <f>M324+N324</f>
        <v>0</v>
      </c>
      <c r="M324" s="162">
        <v>0</v>
      </c>
      <c r="N324" s="165">
        <v>0</v>
      </c>
      <c r="O324" s="662">
        <f t="shared" ref="O324:O349" si="34">P324+Q324</f>
        <v>76940</v>
      </c>
      <c r="P324" s="663">
        <v>38470</v>
      </c>
      <c r="Q324" s="662">
        <v>38470</v>
      </c>
      <c r="R324" s="326">
        <f t="shared" ref="R324:R349" si="35">S324+T324</f>
        <v>92328</v>
      </c>
      <c r="S324" s="664">
        <v>46164</v>
      </c>
      <c r="T324" s="326">
        <v>46164</v>
      </c>
      <c r="U324" t="s">
        <v>234</v>
      </c>
      <c r="V324" s="699"/>
      <c r="W324" s="1046"/>
      <c r="X324" s="1046"/>
      <c r="Y324" s="665"/>
      <c r="Z324" s="322"/>
      <c r="AB324" s="885"/>
      <c r="AC324" s="885"/>
      <c r="AD324" s="885"/>
      <c r="AE324" s="885"/>
      <c r="AF324" s="847"/>
      <c r="AG324" s="847"/>
      <c r="AH324" s="842"/>
      <c r="AI324" s="842"/>
      <c r="AJ324" s="35"/>
    </row>
    <row r="325" spans="2:36" ht="13" x14ac:dyDescent="0.3">
      <c r="B325" s="714"/>
      <c r="C325" s="715"/>
      <c r="D325" s="715"/>
      <c r="E325" s="667"/>
      <c r="F325" s="667"/>
      <c r="G325" s="667"/>
      <c r="H325" s="667"/>
      <c r="I325" s="667"/>
      <c r="J325" s="667"/>
      <c r="K325" s="696"/>
      <c r="L325" s="588"/>
      <c r="M325" s="162"/>
      <c r="N325" s="165"/>
      <c r="O325" s="662"/>
      <c r="P325" s="663"/>
      <c r="Q325" s="662"/>
      <c r="R325" s="326"/>
      <c r="S325" s="664"/>
      <c r="T325" s="326"/>
      <c r="V325" s="699"/>
      <c r="W325" s="1046"/>
      <c r="X325" s="1046"/>
      <c r="Y325" s="665"/>
      <c r="Z325" s="322"/>
      <c r="AB325" s="885"/>
      <c r="AC325" s="885"/>
      <c r="AD325" s="885"/>
      <c r="AE325" s="885"/>
      <c r="AF325" s="847"/>
      <c r="AG325" s="847"/>
      <c r="AH325" s="842"/>
      <c r="AI325" s="842"/>
      <c r="AJ325" s="35"/>
    </row>
    <row r="326" spans="2:36" ht="13.5" thickBot="1" x14ac:dyDescent="0.35">
      <c r="B326" s="716"/>
      <c r="C326" s="717"/>
      <c r="D326" s="717"/>
      <c r="E326" s="718"/>
      <c r="F326" s="718"/>
      <c r="G326" s="718"/>
      <c r="H326" s="718"/>
      <c r="I326" s="718"/>
      <c r="J326" s="718"/>
      <c r="K326" s="719"/>
      <c r="L326" s="588"/>
      <c r="M326" s="162"/>
      <c r="N326" s="165"/>
      <c r="O326" s="662"/>
      <c r="P326" s="663"/>
      <c r="Q326" s="662"/>
      <c r="R326" s="326"/>
      <c r="S326" s="664"/>
      <c r="T326" s="326"/>
      <c r="V326" s="720"/>
      <c r="W326" s="1053"/>
      <c r="X326" s="1053"/>
      <c r="Y326" s="665"/>
      <c r="Z326" s="322"/>
      <c r="AB326" s="885"/>
      <c r="AC326" s="885"/>
      <c r="AD326" s="885"/>
      <c r="AE326" s="885"/>
      <c r="AF326" s="847"/>
      <c r="AG326" s="847"/>
      <c r="AH326" s="842"/>
      <c r="AI326" s="842"/>
      <c r="AJ326" s="35"/>
    </row>
    <row r="327" spans="2:36" ht="15.5" x14ac:dyDescent="0.35">
      <c r="B327" s="1788" t="s">
        <v>235</v>
      </c>
      <c r="C327" s="1789"/>
      <c r="D327" s="1789"/>
      <c r="E327" s="1789"/>
      <c r="F327" s="1789"/>
      <c r="G327" s="1789"/>
      <c r="H327" s="1789"/>
      <c r="I327" s="1789"/>
      <c r="J327" s="1789"/>
      <c r="K327" s="1790"/>
      <c r="L327" s="588"/>
      <c r="M327" s="162"/>
      <c r="N327" s="165"/>
      <c r="O327" s="662">
        <f t="shared" si="34"/>
        <v>325743.09999999998</v>
      </c>
      <c r="P327" s="663">
        <f>60.06+1457.44+20800+13000+13000+7800+4591.42+3717.66+354+2116.5+19506.2+2299.73+58698.42</f>
        <v>147401.43</v>
      </c>
      <c r="Q327" s="662">
        <f>1457.44+22501.51+2319+67+19856.75+3404.05+783.5+354+15600+2000+39000+11700+58698.42+600</f>
        <v>178341.66999999998</v>
      </c>
      <c r="R327" s="326">
        <f t="shared" si="35"/>
        <v>391251.72</v>
      </c>
      <c r="S327" s="664">
        <v>177241.72</v>
      </c>
      <c r="T327" s="326">
        <v>214010</v>
      </c>
      <c r="U327" t="s">
        <v>236</v>
      </c>
      <c r="V327" s="711">
        <f>W327+X327</f>
        <v>2200000</v>
      </c>
      <c r="W327" s="1052">
        <f>W328+W329+W332+W333</f>
        <v>1025000</v>
      </c>
      <c r="X327" s="1052">
        <f>X328+X329+X332+X333</f>
        <v>1175000</v>
      </c>
      <c r="Y327" s="665"/>
      <c r="Z327" s="322"/>
      <c r="AB327" s="322"/>
      <c r="AC327" s="8"/>
      <c r="AD327" s="721"/>
      <c r="AE327" s="721"/>
      <c r="AF327" s="721"/>
      <c r="AG327" s="842"/>
      <c r="AH327" s="842"/>
      <c r="AI327" s="842"/>
      <c r="AJ327" s="35"/>
    </row>
    <row r="328" spans="2:36" ht="15.5" x14ac:dyDescent="0.35">
      <c r="B328" s="887" t="s">
        <v>237</v>
      </c>
      <c r="C328" s="1194"/>
      <c r="D328" s="51"/>
      <c r="E328" s="1194"/>
      <c r="F328" s="1194"/>
      <c r="G328" s="1194"/>
      <c r="H328" s="1194"/>
      <c r="I328" s="1194"/>
      <c r="J328" s="1194"/>
      <c r="K328" s="722" t="s">
        <v>238</v>
      </c>
      <c r="L328" s="588"/>
      <c r="M328" s="162"/>
      <c r="N328" s="165"/>
      <c r="O328" s="662"/>
      <c r="P328" s="663"/>
      <c r="Q328" s="662"/>
      <c r="R328" s="326"/>
      <c r="S328" s="664"/>
      <c r="T328" s="326"/>
      <c r="V328" s="699">
        <v>25000</v>
      </c>
      <c r="W328" s="1046">
        <v>0</v>
      </c>
      <c r="X328" s="1046">
        <v>25000</v>
      </c>
      <c r="Y328" s="665"/>
      <c r="Z328" s="322"/>
      <c r="AA328" s="87"/>
      <c r="AB328" s="322"/>
      <c r="AC328" s="8"/>
      <c r="AD328" s="721"/>
      <c r="AE328" s="721"/>
      <c r="AF328" s="721"/>
      <c r="AG328" s="842"/>
      <c r="AH328" s="842"/>
      <c r="AI328" s="842"/>
      <c r="AJ328" s="35"/>
    </row>
    <row r="329" spans="2:36" ht="15.5" x14ac:dyDescent="0.35">
      <c r="B329" s="887" t="s">
        <v>312</v>
      </c>
      <c r="C329" s="1194"/>
      <c r="D329" s="51"/>
      <c r="E329" s="1194"/>
      <c r="F329" s="1194"/>
      <c r="G329" s="1194"/>
      <c r="H329" s="1194"/>
      <c r="I329" s="1033"/>
      <c r="J329" s="1033"/>
      <c r="K329" s="723"/>
      <c r="L329" s="588"/>
      <c r="M329" s="162"/>
      <c r="N329" s="165"/>
      <c r="O329" s="662"/>
      <c r="P329" s="663"/>
      <c r="Q329" s="662"/>
      <c r="R329" s="326"/>
      <c r="S329" s="664"/>
      <c r="T329" s="326"/>
      <c r="V329" s="699">
        <f>W329+X329</f>
        <v>800000</v>
      </c>
      <c r="W329" s="1046">
        <v>400000</v>
      </c>
      <c r="X329" s="1046">
        <v>400000</v>
      </c>
      <c r="Y329" s="665"/>
      <c r="Z329" s="1075" t="s">
        <v>395</v>
      </c>
      <c r="AA329" s="593"/>
      <c r="AB329" s="322"/>
      <c r="AC329" s="8"/>
      <c r="AD329" s="721"/>
      <c r="AE329" s="721"/>
      <c r="AF329" s="721"/>
      <c r="AG329" s="842"/>
      <c r="AH329" s="842"/>
      <c r="AI329" s="842"/>
      <c r="AJ329" s="35"/>
    </row>
    <row r="330" spans="2:36" ht="15.5" x14ac:dyDescent="0.35">
      <c r="B330" s="85" t="s">
        <v>239</v>
      </c>
      <c r="C330" s="1194"/>
      <c r="D330" s="51"/>
      <c r="E330" s="1194"/>
      <c r="F330" s="1194"/>
      <c r="G330" s="1194"/>
      <c r="H330" s="1194"/>
      <c r="I330" s="1194"/>
      <c r="J330" s="1194"/>
      <c r="K330" s="1195"/>
      <c r="L330" s="588"/>
      <c r="M330" s="162"/>
      <c r="N330" s="165"/>
      <c r="O330" s="662"/>
      <c r="P330" s="663"/>
      <c r="Q330" s="662"/>
      <c r="R330" s="326"/>
      <c r="S330" s="664"/>
      <c r="T330" s="326"/>
      <c r="V330" s="699"/>
      <c r="W330" s="1046"/>
      <c r="X330" s="1046"/>
      <c r="Y330" s="665"/>
      <c r="Z330" s="1081" t="s">
        <v>337</v>
      </c>
      <c r="AA330" s="1081" t="s">
        <v>338</v>
      </c>
      <c r="AB330" s="322"/>
      <c r="AC330" s="8"/>
      <c r="AD330" s="721"/>
      <c r="AE330" s="721"/>
      <c r="AF330" s="721"/>
      <c r="AG330" s="842"/>
      <c r="AH330" s="842"/>
      <c r="AI330" s="842"/>
      <c r="AJ330" s="35"/>
    </row>
    <row r="331" spans="2:36" ht="15.5" x14ac:dyDescent="0.35">
      <c r="B331" s="887" t="s">
        <v>240</v>
      </c>
      <c r="C331" s="1194"/>
      <c r="D331" s="1194"/>
      <c r="E331" s="1194"/>
      <c r="F331" s="1194"/>
      <c r="G331" s="1194"/>
      <c r="H331" s="1194"/>
      <c r="I331" s="1194"/>
      <c r="J331" s="1194"/>
      <c r="K331" s="1195"/>
      <c r="L331" s="588"/>
      <c r="M331" s="162"/>
      <c r="N331" s="165"/>
      <c r="O331" s="662"/>
      <c r="P331" s="663"/>
      <c r="Q331" s="662"/>
      <c r="R331" s="326"/>
      <c r="S331" s="664"/>
      <c r="T331" s="326"/>
      <c r="V331" s="699"/>
      <c r="W331" s="1046"/>
      <c r="X331" s="1046"/>
      <c r="Y331" s="668"/>
      <c r="Z331" s="1088"/>
      <c r="AA331" s="1088"/>
      <c r="AB331" s="322"/>
      <c r="AC331" s="8"/>
      <c r="AD331" s="721"/>
      <c r="AE331" s="721"/>
      <c r="AF331" s="721"/>
      <c r="AG331" s="842"/>
      <c r="AH331" s="842"/>
      <c r="AI331" s="842"/>
      <c r="AJ331" s="35"/>
    </row>
    <row r="332" spans="2:36" ht="15.5" x14ac:dyDescent="0.35">
      <c r="B332" s="85" t="s">
        <v>241</v>
      </c>
      <c r="C332" s="1194"/>
      <c r="D332" s="1194"/>
      <c r="E332" s="1194"/>
      <c r="F332" s="1194"/>
      <c r="G332" s="1194"/>
      <c r="H332" s="1194"/>
      <c r="I332" s="1194"/>
      <c r="J332" s="1194"/>
      <c r="K332" s="1195"/>
      <c r="L332" s="588"/>
      <c r="M332" s="162"/>
      <c r="N332" s="165"/>
      <c r="O332" s="662"/>
      <c r="P332" s="663"/>
      <c r="Q332" s="662"/>
      <c r="R332" s="326"/>
      <c r="S332" s="664"/>
      <c r="T332" s="326"/>
      <c r="V332" s="709">
        <f>W332+X332</f>
        <v>375000</v>
      </c>
      <c r="W332" s="1045">
        <v>125000</v>
      </c>
      <c r="X332" s="1045">
        <v>250000</v>
      </c>
      <c r="Y332" s="668"/>
      <c r="Z332" s="1088">
        <v>70698</v>
      </c>
      <c r="AA332" s="1088">
        <v>74000</v>
      </c>
      <c r="AB332" s="322"/>
      <c r="AC332" s="8"/>
      <c r="AD332" s="721"/>
      <c r="AE332" s="721"/>
      <c r="AF332" s="721"/>
      <c r="AG332" s="842"/>
      <c r="AH332" s="842"/>
      <c r="AI332" s="842"/>
      <c r="AJ332" s="35"/>
    </row>
    <row r="333" spans="2:36" ht="13" x14ac:dyDescent="0.3">
      <c r="B333" s="724" t="s">
        <v>242</v>
      </c>
      <c r="C333" s="725"/>
      <c r="D333" s="725"/>
      <c r="E333" s="725"/>
      <c r="F333" s="725"/>
      <c r="G333" s="725"/>
      <c r="H333" s="725"/>
      <c r="I333" s="725"/>
      <c r="J333" s="730"/>
      <c r="K333" s="726"/>
      <c r="L333" s="727"/>
      <c r="M333" s="728"/>
      <c r="N333" s="307"/>
      <c r="O333" s="307"/>
      <c r="P333" s="728"/>
      <c r="Q333" s="307"/>
      <c r="R333" s="407"/>
      <c r="S333" s="729"/>
      <c r="T333" s="407"/>
      <c r="V333" s="1034" t="s">
        <v>313</v>
      </c>
      <c r="W333" s="1054">
        <v>500000</v>
      </c>
      <c r="X333" s="1054">
        <v>500000</v>
      </c>
      <c r="Y333" s="1090"/>
      <c r="Z333" s="1088"/>
      <c r="AA333" s="1088"/>
      <c r="AB333" s="731"/>
      <c r="AC333" s="731"/>
      <c r="AD333" s="731"/>
      <c r="AE333" s="731"/>
      <c r="AF333" s="731"/>
      <c r="AG333" s="731"/>
      <c r="AH333" s="731"/>
      <c r="AI333" s="731"/>
      <c r="AJ333" s="35"/>
    </row>
    <row r="334" spans="2:36" ht="13" x14ac:dyDescent="0.3">
      <c r="B334" s="732" t="s">
        <v>243</v>
      </c>
      <c r="C334" s="667"/>
      <c r="D334" s="667"/>
      <c r="E334" s="667"/>
      <c r="F334" s="667"/>
      <c r="G334" s="667"/>
      <c r="H334" s="667"/>
      <c r="I334" s="667"/>
      <c r="K334" s="696"/>
      <c r="L334" s="727"/>
      <c r="M334" s="728"/>
      <c r="N334" s="307"/>
      <c r="O334" s="307"/>
      <c r="P334" s="728"/>
      <c r="Q334" s="307"/>
      <c r="R334" s="407"/>
      <c r="S334" s="729"/>
      <c r="T334" s="407"/>
      <c r="V334" s="704"/>
      <c r="W334" s="1049"/>
      <c r="X334" s="1049"/>
      <c r="Y334" s="1090"/>
      <c r="Z334" s="1193"/>
      <c r="AA334" s="1193"/>
      <c r="AB334" s="731"/>
      <c r="AC334" s="731"/>
      <c r="AD334" s="731"/>
      <c r="AE334" s="731"/>
      <c r="AF334" s="731"/>
      <c r="AG334" s="731"/>
      <c r="AH334" s="731"/>
      <c r="AI334" s="731"/>
      <c r="AJ334" s="35"/>
    </row>
    <row r="335" spans="2:36" ht="13.5" thickBot="1" x14ac:dyDescent="0.35">
      <c r="B335" s="858"/>
      <c r="C335" s="733"/>
      <c r="D335" s="733"/>
      <c r="E335" s="734"/>
      <c r="F335" s="734"/>
      <c r="G335" s="734"/>
      <c r="H335" s="734"/>
      <c r="I335" s="734"/>
      <c r="J335" s="734"/>
      <c r="K335" s="735"/>
      <c r="L335" s="727">
        <f>M335+N335</f>
        <v>0</v>
      </c>
      <c r="M335" s="728"/>
      <c r="N335" s="307"/>
      <c r="O335" s="307">
        <f t="shared" si="34"/>
        <v>0</v>
      </c>
      <c r="P335" s="728"/>
      <c r="Q335" s="307"/>
      <c r="R335" s="407">
        <f t="shared" si="35"/>
        <v>0</v>
      </c>
      <c r="S335" s="729"/>
      <c r="T335" s="407"/>
      <c r="V335" s="736"/>
      <c r="W335" s="1049"/>
      <c r="X335" s="1049"/>
      <c r="Y335" s="1091"/>
      <c r="Z335" s="1193"/>
      <c r="AA335" s="1193"/>
      <c r="AB335" s="697"/>
      <c r="AC335" s="697"/>
      <c r="AD335" s="697"/>
      <c r="AE335" s="697"/>
      <c r="AF335" s="697"/>
      <c r="AG335" s="63"/>
      <c r="AH335" s="63"/>
      <c r="AI335" s="63"/>
      <c r="AJ335" s="35"/>
    </row>
    <row r="336" spans="2:36" ht="16" thickBot="1" x14ac:dyDescent="0.4">
      <c r="B336" s="737" t="s">
        <v>244</v>
      </c>
      <c r="C336" s="738"/>
      <c r="D336" s="659"/>
      <c r="E336" s="659"/>
      <c r="F336" s="659"/>
      <c r="G336" s="659"/>
      <c r="H336" s="660"/>
      <c r="I336" s="660"/>
      <c r="J336" s="660"/>
      <c r="K336" s="661"/>
      <c r="L336" s="739"/>
      <c r="M336" s="688"/>
      <c r="N336" s="160"/>
      <c r="O336" s="160"/>
      <c r="P336" s="688"/>
      <c r="Q336" s="688"/>
      <c r="R336" s="740"/>
      <c r="S336" s="689"/>
      <c r="T336" s="689"/>
      <c r="V336" s="705">
        <v>0</v>
      </c>
      <c r="W336" s="1055">
        <v>0</v>
      </c>
      <c r="X336" s="1055">
        <v>0</v>
      </c>
      <c r="Y336" s="101"/>
      <c r="Z336" s="1193"/>
      <c r="AA336" s="1193"/>
      <c r="AB336" s="697"/>
      <c r="AC336" s="697"/>
      <c r="AD336" s="697"/>
      <c r="AE336" s="697"/>
      <c r="AF336" s="697"/>
      <c r="AG336" s="63"/>
      <c r="AH336" s="63"/>
      <c r="AI336" s="63"/>
      <c r="AJ336" s="35"/>
    </row>
    <row r="337" spans="2:36" ht="16" thickBot="1" x14ac:dyDescent="0.4">
      <c r="B337" s="753" t="s">
        <v>314</v>
      </c>
      <c r="C337" s="741"/>
      <c r="D337" s="742"/>
      <c r="E337" s="742"/>
      <c r="F337" s="742"/>
      <c r="G337" s="742"/>
      <c r="H337" s="742"/>
      <c r="I337" s="742"/>
      <c r="J337" s="742"/>
      <c r="K337" s="743"/>
      <c r="L337" s="739"/>
      <c r="M337" s="688"/>
      <c r="N337" s="160"/>
      <c r="O337" s="160"/>
      <c r="P337" s="688"/>
      <c r="Q337" s="688"/>
      <c r="R337" s="740"/>
      <c r="S337" s="689"/>
      <c r="T337" s="689"/>
      <c r="V337" s="744"/>
      <c r="W337" s="1046"/>
      <c r="X337" s="1046"/>
      <c r="Y337" s="101"/>
      <c r="Z337" s="1193"/>
      <c r="AA337" s="1193"/>
      <c r="AB337" s="697"/>
      <c r="AC337" s="697"/>
      <c r="AD337" s="697"/>
      <c r="AE337" s="697"/>
      <c r="AF337" s="697"/>
      <c r="AG337" s="63"/>
      <c r="AH337" s="63"/>
      <c r="AI337" s="63"/>
      <c r="AJ337" s="35"/>
    </row>
    <row r="338" spans="2:36" ht="16" thickBot="1" x14ac:dyDescent="0.4">
      <c r="B338" s="753" t="s">
        <v>315</v>
      </c>
      <c r="C338" s="741"/>
      <c r="D338" s="742"/>
      <c r="E338" s="742"/>
      <c r="F338" s="742"/>
      <c r="G338" s="742"/>
      <c r="H338" s="742"/>
      <c r="I338" s="742"/>
      <c r="J338" s="742"/>
      <c r="K338" s="743"/>
      <c r="L338" s="739"/>
      <c r="M338" s="688"/>
      <c r="N338" s="160"/>
      <c r="O338" s="160"/>
      <c r="P338" s="688"/>
      <c r="Q338" s="688"/>
      <c r="R338" s="740"/>
      <c r="S338" s="689"/>
      <c r="T338" s="689"/>
      <c r="V338" s="744"/>
      <c r="W338" s="1046"/>
      <c r="X338" s="1046"/>
      <c r="Y338" s="101"/>
      <c r="Z338" s="697"/>
      <c r="AA338" s="697"/>
      <c r="AB338" s="697"/>
      <c r="AC338" s="697"/>
      <c r="AD338" s="697"/>
      <c r="AE338" s="697"/>
      <c r="AF338" s="697"/>
      <c r="AG338" s="63"/>
      <c r="AH338" s="63"/>
      <c r="AI338" s="63"/>
      <c r="AJ338" s="35"/>
    </row>
    <row r="339" spans="2:36" ht="16" thickBot="1" x14ac:dyDescent="0.4">
      <c r="B339" s="1035" t="s">
        <v>316</v>
      </c>
      <c r="C339" s="745"/>
      <c r="D339" s="746"/>
      <c r="E339" s="746"/>
      <c r="F339" s="746"/>
      <c r="G339" s="746"/>
      <c r="H339" s="746"/>
      <c r="I339" s="746"/>
      <c r="J339" s="746"/>
      <c r="K339" s="747"/>
      <c r="L339" s="739"/>
      <c r="M339" s="688"/>
      <c r="N339" s="160"/>
      <c r="O339" s="160"/>
      <c r="P339" s="688"/>
      <c r="Q339" s="688"/>
      <c r="R339" s="740"/>
      <c r="S339" s="689"/>
      <c r="T339" s="689"/>
      <c r="V339" s="748"/>
      <c r="W339" s="1053"/>
      <c r="X339" s="1053"/>
      <c r="Y339" s="101"/>
      <c r="Z339" s="697"/>
      <c r="AA339" s="697"/>
      <c r="AB339" s="697"/>
      <c r="AC339" s="697"/>
      <c r="AD339" s="697"/>
      <c r="AE339" s="697"/>
      <c r="AF339" s="697"/>
      <c r="AG339" s="63"/>
      <c r="AH339" s="63"/>
      <c r="AI339" s="63"/>
      <c r="AJ339" s="35"/>
    </row>
    <row r="340" spans="2:36" ht="16" thickBot="1" x14ac:dyDescent="0.4">
      <c r="B340" s="749" t="s">
        <v>245</v>
      </c>
      <c r="C340" s="750"/>
      <c r="D340" s="750"/>
      <c r="E340" s="751"/>
      <c r="F340" s="751"/>
      <c r="G340" s="751"/>
      <c r="H340" s="751"/>
      <c r="I340" s="751"/>
      <c r="J340" s="751"/>
      <c r="K340" s="752"/>
      <c r="L340" s="739"/>
      <c r="M340" s="688"/>
      <c r="N340" s="160"/>
      <c r="O340" s="160"/>
      <c r="P340" s="688"/>
      <c r="Q340" s="688"/>
      <c r="R340" s="740"/>
      <c r="S340" s="689"/>
      <c r="T340" s="689"/>
      <c r="V340" s="1167">
        <f>W340+X340</f>
        <v>100000</v>
      </c>
      <c r="W340" s="1056">
        <f>W341+W342</f>
        <v>50000</v>
      </c>
      <c r="X340" s="1056">
        <f>X341+X342</f>
        <v>50000</v>
      </c>
      <c r="Y340" s="101"/>
      <c r="Z340" s="697"/>
      <c r="AA340" s="697"/>
      <c r="AB340" s="697"/>
      <c r="AC340" s="697"/>
      <c r="AD340" s="697"/>
      <c r="AE340" s="697"/>
      <c r="AF340" s="697"/>
      <c r="AG340" s="63"/>
      <c r="AH340" s="63"/>
      <c r="AI340" s="63"/>
      <c r="AJ340" s="35"/>
    </row>
    <row r="341" spans="2:36" ht="13.5" thickBot="1" x14ac:dyDescent="0.35">
      <c r="B341" s="753" t="s">
        <v>246</v>
      </c>
      <c r="C341" s="697"/>
      <c r="D341" s="697"/>
      <c r="E341" s="322"/>
      <c r="F341" s="322"/>
      <c r="G341" s="322"/>
      <c r="H341" s="322"/>
      <c r="I341" s="322"/>
      <c r="J341" s="322"/>
      <c r="K341" s="695"/>
      <c r="L341" s="739"/>
      <c r="M341" s="688"/>
      <c r="N341" s="160"/>
      <c r="O341" s="160"/>
      <c r="P341" s="688"/>
      <c r="Q341" s="688"/>
      <c r="R341" s="740"/>
      <c r="S341" s="689"/>
      <c r="T341" s="689"/>
      <c r="V341" s="754">
        <f>W341+X341</f>
        <v>100000</v>
      </c>
      <c r="W341" s="1057">
        <v>50000</v>
      </c>
      <c r="X341" s="1057">
        <v>50000</v>
      </c>
      <c r="Y341" s="101"/>
      <c r="Z341" s="697"/>
      <c r="AA341" s="697"/>
      <c r="AB341" s="697"/>
      <c r="AC341" s="697"/>
      <c r="AD341" s="697"/>
      <c r="AE341" s="697"/>
      <c r="AF341" s="697"/>
      <c r="AG341" s="63"/>
      <c r="AH341" s="63"/>
      <c r="AI341" s="63"/>
      <c r="AJ341" s="35"/>
    </row>
    <row r="342" spans="2:36" ht="13.5" thickBot="1" x14ac:dyDescent="0.35">
      <c r="B342" s="753" t="s">
        <v>247</v>
      </c>
      <c r="C342" s="697"/>
      <c r="D342" s="697"/>
      <c r="E342" s="322"/>
      <c r="F342" s="322"/>
      <c r="G342" s="322"/>
      <c r="H342" s="322"/>
      <c r="I342" s="322"/>
      <c r="J342" s="322"/>
      <c r="K342" s="695"/>
      <c r="L342" s="739"/>
      <c r="M342" s="688"/>
      <c r="N342" s="160"/>
      <c r="O342" s="160"/>
      <c r="P342" s="688"/>
      <c r="Q342" s="688"/>
      <c r="R342" s="740"/>
      <c r="S342" s="689"/>
      <c r="T342" s="689"/>
      <c r="V342" s="754"/>
      <c r="W342" s="1057"/>
      <c r="X342" s="1057"/>
      <c r="Y342" s="101"/>
      <c r="Z342" s="697"/>
      <c r="AA342" s="697"/>
      <c r="AB342" s="697"/>
      <c r="AC342" s="697"/>
      <c r="AD342" s="697"/>
      <c r="AE342" s="697"/>
      <c r="AF342" s="697"/>
      <c r="AG342" s="63"/>
      <c r="AH342" s="63"/>
      <c r="AI342" s="63"/>
      <c r="AJ342" s="35"/>
    </row>
    <row r="343" spans="2:36" ht="13.5" thickBot="1" x14ac:dyDescent="0.35">
      <c r="B343" s="503" t="s">
        <v>248</v>
      </c>
      <c r="C343" s="755"/>
      <c r="D343" s="755"/>
      <c r="E343" s="718"/>
      <c r="F343" s="718"/>
      <c r="G343" s="718"/>
      <c r="H343" s="718"/>
      <c r="I343" s="718"/>
      <c r="J343" s="718"/>
      <c r="K343" s="719"/>
      <c r="L343" s="739"/>
      <c r="M343" s="688"/>
      <c r="N343" s="160"/>
      <c r="O343" s="160"/>
      <c r="P343" s="688"/>
      <c r="Q343" s="688"/>
      <c r="R343" s="740"/>
      <c r="S343" s="689"/>
      <c r="T343" s="689"/>
      <c r="V343" s="756"/>
      <c r="W343" s="1058"/>
      <c r="X343" s="1058"/>
      <c r="Y343" s="101"/>
      <c r="Z343" s="697"/>
      <c r="AA343" s="697"/>
      <c r="AB343" s="697"/>
      <c r="AC343" s="697"/>
      <c r="AD343" s="697"/>
      <c r="AE343" s="697"/>
      <c r="AF343" s="697"/>
      <c r="AG343" s="63"/>
      <c r="AH343" s="63"/>
      <c r="AI343" s="63"/>
      <c r="AJ343" s="35"/>
    </row>
    <row r="344" spans="2:36" ht="16" thickBot="1" x14ac:dyDescent="0.4">
      <c r="B344" s="757" t="s">
        <v>249</v>
      </c>
      <c r="C344" s="51"/>
      <c r="D344" s="51"/>
      <c r="E344" s="51"/>
      <c r="F344" s="51"/>
      <c r="G344" s="322"/>
      <c r="H344" s="322"/>
      <c r="I344" s="322"/>
      <c r="J344" s="322"/>
      <c r="K344" s="695"/>
      <c r="L344" s="739"/>
      <c r="M344" s="688"/>
      <c r="N344" s="160"/>
      <c r="O344" s="160"/>
      <c r="P344" s="688"/>
      <c r="Q344" s="688"/>
      <c r="R344" s="740"/>
      <c r="S344" s="689"/>
      <c r="T344" s="689"/>
      <c r="V344" s="758">
        <f>W344</f>
        <v>0</v>
      </c>
      <c r="W344" s="1059">
        <f>W345+W346+W347</f>
        <v>0</v>
      </c>
      <c r="X344" s="1059">
        <f>X345+X346+X347</f>
        <v>0</v>
      </c>
      <c r="Y344" s="101"/>
      <c r="Z344" s="697"/>
      <c r="AA344" s="697"/>
      <c r="AB344" s="697"/>
      <c r="AC344" s="697"/>
      <c r="AD344" s="697"/>
      <c r="AE344" s="697"/>
      <c r="AF344" s="697"/>
      <c r="AG344" s="63"/>
      <c r="AH344" s="63"/>
      <c r="AI344" s="63"/>
      <c r="AJ344" s="35"/>
    </row>
    <row r="345" spans="2:36" ht="13.5" thickBot="1" x14ac:dyDescent="0.35">
      <c r="B345" s="753" t="s">
        <v>250</v>
      </c>
      <c r="C345" s="697"/>
      <c r="D345" s="697"/>
      <c r="E345" s="322"/>
      <c r="F345" s="322"/>
      <c r="G345" s="322"/>
      <c r="H345" s="322"/>
      <c r="I345" s="322"/>
      <c r="J345" s="322"/>
      <c r="K345" s="695"/>
      <c r="L345" s="739"/>
      <c r="M345" s="688"/>
      <c r="N345" s="160"/>
      <c r="O345" s="160"/>
      <c r="P345" s="688"/>
      <c r="Q345" s="688"/>
      <c r="R345" s="740"/>
      <c r="S345" s="689"/>
      <c r="T345" s="689"/>
      <c r="V345" s="759"/>
      <c r="W345" s="1060"/>
      <c r="X345" s="1060"/>
      <c r="Y345" s="101"/>
      <c r="Z345" s="697"/>
      <c r="AA345" s="697"/>
      <c r="AB345" s="697"/>
      <c r="AC345" s="697"/>
      <c r="AD345" s="697"/>
      <c r="AE345" s="697"/>
      <c r="AF345" s="697"/>
      <c r="AG345" s="63"/>
      <c r="AH345" s="63"/>
      <c r="AI345" s="63"/>
      <c r="AJ345" s="35"/>
    </row>
    <row r="346" spans="2:36" ht="13.5" thickBot="1" x14ac:dyDescent="0.35">
      <c r="B346" s="753" t="s">
        <v>251</v>
      </c>
      <c r="C346" s="697"/>
      <c r="D346" s="697"/>
      <c r="E346" s="322"/>
      <c r="F346" s="322"/>
      <c r="G346" s="322"/>
      <c r="H346" s="322"/>
      <c r="I346" s="322"/>
      <c r="J346" s="322"/>
      <c r="K346" s="695"/>
      <c r="L346" s="739"/>
      <c r="M346" s="688"/>
      <c r="N346" s="160"/>
      <c r="O346" s="160"/>
      <c r="P346" s="688"/>
      <c r="Q346" s="688"/>
      <c r="R346" s="740"/>
      <c r="S346" s="689"/>
      <c r="T346" s="689"/>
      <c r="V346" s="759"/>
      <c r="W346" s="1060"/>
      <c r="X346" s="1060"/>
      <c r="Y346" s="101"/>
      <c r="Z346" s="697"/>
      <c r="AA346" s="697"/>
      <c r="AB346" s="697"/>
      <c r="AC346" s="697"/>
      <c r="AD346" s="697"/>
      <c r="AE346" s="697"/>
      <c r="AF346" s="697"/>
      <c r="AG346" s="63"/>
      <c r="AH346" s="63"/>
      <c r="AI346" s="63"/>
      <c r="AJ346" s="35"/>
    </row>
    <row r="347" spans="2:36" ht="13.5" thickBot="1" x14ac:dyDescent="0.35">
      <c r="B347" s="1791" t="s">
        <v>252</v>
      </c>
      <c r="C347" s="1792"/>
      <c r="D347" s="1792"/>
      <c r="E347" s="1792"/>
      <c r="F347" s="1792"/>
      <c r="G347" s="1792"/>
      <c r="H347" s="1792"/>
      <c r="I347" s="1792"/>
      <c r="J347" s="1792"/>
      <c r="K347" s="1793"/>
      <c r="L347" s="739"/>
      <c r="M347" s="688"/>
      <c r="N347" s="160"/>
      <c r="O347" s="160"/>
      <c r="P347" s="688"/>
      <c r="Q347" s="688"/>
      <c r="R347" s="740"/>
      <c r="S347" s="689"/>
      <c r="T347" s="689"/>
      <c r="V347" s="760"/>
      <c r="W347" s="1061"/>
      <c r="X347" s="1061"/>
      <c r="Y347" s="101"/>
      <c r="Z347" s="697"/>
      <c r="AA347" s="697"/>
      <c r="AB347" s="697"/>
      <c r="AC347" s="697"/>
      <c r="AD347" s="697"/>
      <c r="AE347" s="697"/>
      <c r="AF347" s="697"/>
      <c r="AG347" s="63"/>
      <c r="AH347" s="63"/>
      <c r="AI347" s="63"/>
      <c r="AJ347" s="35"/>
    </row>
    <row r="348" spans="2:36" ht="14.5" thickBot="1" x14ac:dyDescent="0.35">
      <c r="B348" s="895" t="s">
        <v>253</v>
      </c>
      <c r="C348" s="761"/>
      <c r="D348" s="761"/>
      <c r="E348" s="761"/>
      <c r="F348" s="343"/>
      <c r="G348" s="343"/>
      <c r="H348" s="844"/>
      <c r="I348" s="844"/>
      <c r="J348" s="718"/>
      <c r="K348" s="762"/>
      <c r="L348" s="601" t="e">
        <f>M348+N348</f>
        <v>#REF!</v>
      </c>
      <c r="M348" s="763" t="e">
        <f>M292+M293+M294+M295+M299+#REF!+#REF!+M310+M319+M323+#REF!+M335</f>
        <v>#REF!</v>
      </c>
      <c r="N348" s="764" t="e">
        <f>N292+N293+N294+N295+N299+#REF!+#REF!+N310+N319+N323+#REF!+N335</f>
        <v>#REF!</v>
      </c>
      <c r="O348" s="765">
        <f t="shared" si="34"/>
        <v>1475244.9</v>
      </c>
      <c r="P348" s="766">
        <f>P292+P293+P294+P295+P309+P310+P324+P327</f>
        <v>763420.55</v>
      </c>
      <c r="Q348" s="766">
        <f>Q292+Q293+Q294+Q295+Q309+Q310+Q324+Q327</f>
        <v>711824.34999999986</v>
      </c>
      <c r="R348" s="599">
        <f t="shared" si="35"/>
        <v>1770573.9040000001</v>
      </c>
      <c r="S348" s="767">
        <f>S292+S293+S294+S295+S309+S310+S324+S327</f>
        <v>916384.68400000001</v>
      </c>
      <c r="T348" s="767">
        <f>T292+T293+T294+T295+T309+T310+T324+T327</f>
        <v>854189.22</v>
      </c>
      <c r="U348" s="14"/>
      <c r="V348" s="963">
        <f>W348+X348</f>
        <v>4287000</v>
      </c>
      <c r="W348" s="965">
        <f>W292+W302+W308+W312+W316+W327+W340+W344</f>
        <v>2160000</v>
      </c>
      <c r="X348" s="965">
        <f>X292+X302+X308+X312+X316+X327+X340+X344</f>
        <v>2127000</v>
      </c>
      <c r="Y348" s="768">
        <f>SUM(Y292:Y335)</f>
        <v>9145</v>
      </c>
      <c r="Z348" s="51"/>
      <c r="AA348" s="769"/>
      <c r="AB348" s="769"/>
      <c r="AC348" s="769"/>
      <c r="AD348" s="769"/>
      <c r="AE348" s="769"/>
      <c r="AF348" s="770" t="s">
        <v>254</v>
      </c>
      <c r="AG348" s="842"/>
      <c r="AH348" s="842"/>
      <c r="AI348" s="148"/>
      <c r="AJ348" s="35"/>
    </row>
    <row r="349" spans="2:36" ht="13.5" customHeight="1" thickBot="1" x14ac:dyDescent="0.4">
      <c r="B349" s="771" t="s">
        <v>255</v>
      </c>
      <c r="C349" s="772"/>
      <c r="D349" s="772"/>
      <c r="E349" s="772"/>
      <c r="F349" s="773"/>
      <c r="G349" s="773"/>
      <c r="H349" s="774"/>
      <c r="I349" s="774"/>
      <c r="J349" s="775"/>
      <c r="K349" s="776"/>
      <c r="L349" s="777" t="s">
        <v>256</v>
      </c>
      <c r="M349" s="778" t="e">
        <f>M288-M348</f>
        <v>#REF!</v>
      </c>
      <c r="N349" s="779" t="e">
        <f>N288-N348</f>
        <v>#REF!</v>
      </c>
      <c r="O349" s="780">
        <f t="shared" si="34"/>
        <v>1184378.7000000002</v>
      </c>
      <c r="P349" s="778">
        <f>P288-P348</f>
        <v>571032.12999999989</v>
      </c>
      <c r="Q349" s="779">
        <f>Q288-Q348</f>
        <v>613346.5700000003</v>
      </c>
      <c r="R349" s="780">
        <f t="shared" si="35"/>
        <v>1376119.1659999997</v>
      </c>
      <c r="S349" s="778">
        <f>S288-S348</f>
        <v>656104.99599999993</v>
      </c>
      <c r="T349" s="779">
        <f>T288-T348</f>
        <v>720014.16999999993</v>
      </c>
      <c r="U349" s="14"/>
      <c r="V349" s="781">
        <f>V288-V348</f>
        <v>-599856.5</v>
      </c>
      <c r="W349" s="781">
        <f>W288-W348</f>
        <v>-309670.52</v>
      </c>
      <c r="X349" s="781">
        <f>X288-X348</f>
        <v>-290185.98</v>
      </c>
      <c r="Y349" s="782">
        <f>Y288-Y348</f>
        <v>1653196.18</v>
      </c>
      <c r="Z349" s="694"/>
      <c r="AA349" s="769"/>
      <c r="AB349" s="769"/>
      <c r="AC349" s="769"/>
      <c r="AD349" s="769"/>
      <c r="AE349" s="769"/>
      <c r="AF349" s="322"/>
      <c r="AG349" s="35"/>
      <c r="AH349" s="783"/>
      <c r="AI349" s="784"/>
      <c r="AJ349" s="35"/>
    </row>
    <row r="350" spans="2:36" ht="16" thickBot="1" x14ac:dyDescent="0.4">
      <c r="B350" s="1794" t="s">
        <v>257</v>
      </c>
      <c r="C350" s="1795"/>
      <c r="D350" s="1795"/>
      <c r="E350" s="1795"/>
      <c r="F350" s="1795"/>
      <c r="G350" s="1795"/>
      <c r="H350" s="1795"/>
      <c r="I350" s="1795"/>
      <c r="J350" s="1795"/>
      <c r="K350" s="1796"/>
      <c r="L350" s="785"/>
      <c r="M350" s="785"/>
      <c r="N350" s="785"/>
      <c r="O350" s="15"/>
      <c r="P350" s="15"/>
      <c r="Q350" s="15"/>
      <c r="R350" s="15"/>
      <c r="S350" s="15"/>
      <c r="T350" s="15"/>
      <c r="U350" s="15"/>
      <c r="V350" s="964">
        <f>W350+X350</f>
        <v>12083526.18</v>
      </c>
      <c r="W350" s="966">
        <f>W287+W349</f>
        <v>6051076.2699999996</v>
      </c>
      <c r="X350" s="967">
        <f>X287+X349</f>
        <v>6032449.9100000001</v>
      </c>
      <c r="AG350" s="35"/>
      <c r="AH350" s="35"/>
      <c r="AI350" s="35"/>
      <c r="AJ350" s="35"/>
    </row>
    <row r="351" spans="2:36" ht="23.5" customHeight="1" x14ac:dyDescent="0.35">
      <c r="B351" s="1012" t="s">
        <v>308</v>
      </c>
      <c r="C351" s="1013"/>
      <c r="D351" s="1013"/>
      <c r="E351" s="1013"/>
      <c r="F351" s="1013"/>
      <c r="G351" s="1013"/>
      <c r="H351" s="1013"/>
      <c r="I351" s="1013"/>
      <c r="J351" s="1014"/>
      <c r="K351" s="1014"/>
      <c r="L351" s="1015"/>
      <c r="M351" s="1015"/>
      <c r="N351" s="1016"/>
      <c r="O351" s="1013"/>
      <c r="P351" s="1013"/>
      <c r="Q351" s="1013"/>
      <c r="R351" s="1013"/>
      <c r="S351" s="1013"/>
      <c r="T351" s="1013"/>
      <c r="U351" s="1013"/>
      <c r="V351" s="1013"/>
      <c r="W351" s="836"/>
      <c r="X351" s="836"/>
    </row>
    <row r="352" spans="2:36" ht="13" x14ac:dyDescent="0.3">
      <c r="B352" s="839"/>
      <c r="C352" s="593"/>
      <c r="D352" s="786"/>
      <c r="E352" s="148"/>
      <c r="F352" s="850"/>
      <c r="G352" s="850"/>
      <c r="H352" s="850"/>
      <c r="I352" s="850"/>
      <c r="J352" s="787"/>
      <c r="K352" s="788"/>
      <c r="L352" s="789"/>
      <c r="M352" s="789"/>
      <c r="N352" s="790"/>
    </row>
    <row r="353" spans="1:26" ht="16" thickBot="1" x14ac:dyDescent="0.4">
      <c r="B353" s="955" t="s">
        <v>288</v>
      </c>
      <c r="C353" s="956" t="s">
        <v>258</v>
      </c>
      <c r="D353" s="957"/>
      <c r="E353" s="958"/>
      <c r="F353" s="959"/>
      <c r="G353" s="960"/>
      <c r="H353" s="1017"/>
      <c r="I353" s="29"/>
      <c r="J353" s="1018"/>
      <c r="K353" s="1018"/>
      <c r="L353" s="1019"/>
      <c r="M353" s="1019"/>
      <c r="N353" s="1020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6" ht="16" thickBot="1" x14ac:dyDescent="0.4">
      <c r="B354" s="897"/>
      <c r="C354" s="792"/>
      <c r="D354" s="32"/>
      <c r="E354" s="885"/>
      <c r="F354" s="882"/>
      <c r="G354" s="850"/>
      <c r="H354" s="1021" t="s">
        <v>327</v>
      </c>
      <c r="I354" s="803"/>
      <c r="J354" s="799"/>
      <c r="K354" s="977"/>
      <c r="L354" s="801"/>
      <c r="M354" s="801"/>
      <c r="N354" s="802"/>
      <c r="O354" s="803"/>
      <c r="P354" s="803"/>
      <c r="Q354" s="803"/>
      <c r="R354" s="803"/>
      <c r="S354" s="803"/>
      <c r="T354" s="803"/>
      <c r="U354" s="803"/>
      <c r="V354" s="803"/>
      <c r="W354" s="1024">
        <v>-33790.730000000003</v>
      </c>
      <c r="X354" s="1068">
        <v>-26376.959999999999</v>
      </c>
    </row>
    <row r="355" spans="1:26" ht="13.5" thickBot="1" x14ac:dyDescent="0.35">
      <c r="C355" s="593"/>
      <c r="D355" s="786"/>
      <c r="E355" s="148"/>
      <c r="F355" s="850"/>
      <c r="G355" s="850"/>
      <c r="H355" s="850"/>
      <c r="I355" s="850"/>
      <c r="J355" s="787"/>
      <c r="K355" s="793"/>
      <c r="L355" s="789"/>
      <c r="M355" s="789"/>
      <c r="N355" s="790"/>
      <c r="V355" s="100"/>
      <c r="W355" s="1022" t="s">
        <v>177</v>
      </c>
      <c r="X355" s="1023" t="s">
        <v>178</v>
      </c>
    </row>
    <row r="356" spans="1:26" ht="13.5" thickBot="1" x14ac:dyDescent="0.35">
      <c r="A356" s="794" t="s">
        <v>259</v>
      </c>
      <c r="B356" s="795" t="s">
        <v>260</v>
      </c>
      <c r="C356" s="796"/>
      <c r="D356" s="796"/>
      <c r="E356" s="797"/>
      <c r="F356" s="796"/>
      <c r="G356" s="796"/>
      <c r="H356" s="798"/>
      <c r="I356" s="798"/>
      <c r="J356" s="799"/>
      <c r="K356" s="800"/>
      <c r="L356" s="801"/>
      <c r="M356" s="801"/>
      <c r="N356" s="802"/>
      <c r="O356" s="803"/>
      <c r="P356" s="803"/>
      <c r="Q356" s="803"/>
      <c r="R356" s="803"/>
      <c r="S356" s="803"/>
      <c r="T356" s="803"/>
      <c r="U356" s="803"/>
      <c r="V356" s="1065">
        <f>W356+X356</f>
        <v>183288.18</v>
      </c>
      <c r="W356" s="1066">
        <v>92005.38</v>
      </c>
      <c r="X356" s="1065">
        <v>91282.8</v>
      </c>
      <c r="Y356" s="659"/>
      <c r="Z356" s="15" t="s">
        <v>339</v>
      </c>
    </row>
    <row r="357" spans="1:26" ht="13.5" thickBot="1" x14ac:dyDescent="0.35">
      <c r="A357" s="804" t="s">
        <v>261</v>
      </c>
      <c r="B357" s="883" t="s">
        <v>262</v>
      </c>
      <c r="C357" s="321"/>
      <c r="D357" s="321"/>
      <c r="E357" s="321"/>
      <c r="F357" s="321"/>
      <c r="G357" s="321"/>
      <c r="H357" s="321"/>
      <c r="I357" s="842"/>
      <c r="J357" s="912"/>
      <c r="K357" s="842"/>
      <c r="L357" s="602">
        <f>M357+N357</f>
        <v>50000</v>
      </c>
      <c r="M357" s="805">
        <v>30000</v>
      </c>
      <c r="N357" s="805">
        <v>20000</v>
      </c>
      <c r="O357" s="602">
        <f>P357+Q357</f>
        <v>144189.65</v>
      </c>
      <c r="P357" s="805">
        <f>P358+P359+P360+P361</f>
        <v>67432.399999999994</v>
      </c>
      <c r="Q357" s="805">
        <f>Q358+Q359+Q360+Q361</f>
        <v>76757.25</v>
      </c>
      <c r="R357" s="806">
        <f>R358+R360+R361</f>
        <v>0.47142369057738831</v>
      </c>
      <c r="S357" s="602" t="e">
        <f>U357+#REF!</f>
        <v>#REF!</v>
      </c>
      <c r="T357" s="807" t="e">
        <f>U357+#REF!</f>
        <v>#REF!</v>
      </c>
      <c r="U357" s="808">
        <v>67500</v>
      </c>
      <c r="V357" s="1064"/>
      <c r="W357" s="1064">
        <v>0</v>
      </c>
      <c r="X357" s="928">
        <v>0</v>
      </c>
      <c r="Y357" s="428"/>
    </row>
    <row r="358" spans="1:26" ht="13" x14ac:dyDescent="0.3">
      <c r="A358" s="865"/>
      <c r="B358" s="891" t="s">
        <v>263</v>
      </c>
      <c r="C358" s="321"/>
      <c r="D358" s="321"/>
      <c r="E358" s="847"/>
      <c r="F358" s="847"/>
      <c r="G358" s="847"/>
      <c r="H358" s="321"/>
      <c r="I358" s="842"/>
      <c r="J358" s="842"/>
      <c r="K358" s="842"/>
      <c r="L358" s="602">
        <f>M358+N358</f>
        <v>10000</v>
      </c>
      <c r="M358" s="805">
        <v>10000</v>
      </c>
      <c r="N358" s="805"/>
      <c r="O358" s="809">
        <f>P358+Q358</f>
        <v>12500</v>
      </c>
      <c r="P358" s="810">
        <v>9500</v>
      </c>
      <c r="Q358" s="810">
        <v>3000</v>
      </c>
      <c r="R358" s="811">
        <f>O358/10/30586</f>
        <v>4.0868371150199437E-2</v>
      </c>
      <c r="S358" s="579" t="e">
        <f>U358+#REF!</f>
        <v>#REF!</v>
      </c>
      <c r="T358" s="809" t="e">
        <f>U358+#REF!</f>
        <v>#REF!</v>
      </c>
      <c r="U358" s="810">
        <v>9500</v>
      </c>
      <c r="V358" s="165"/>
      <c r="W358" s="265"/>
      <c r="X358" s="336"/>
      <c r="Y358" s="428"/>
    </row>
    <row r="359" spans="1:26" ht="13" x14ac:dyDescent="0.3">
      <c r="A359" s="865"/>
      <c r="B359" s="891" t="s">
        <v>264</v>
      </c>
      <c r="C359" s="148"/>
      <c r="D359" s="148"/>
      <c r="E359" s="885"/>
      <c r="F359" s="885"/>
      <c r="G359" s="885"/>
      <c r="H359" s="847"/>
      <c r="I359" s="842"/>
      <c r="J359" s="842"/>
      <c r="K359" s="842"/>
      <c r="L359" s="579"/>
      <c r="M359" s="805"/>
      <c r="N359" s="805"/>
      <c r="O359" s="579"/>
      <c r="P359" s="805"/>
      <c r="Q359" s="805"/>
      <c r="R359" s="811"/>
      <c r="S359" s="579"/>
      <c r="T359" s="812"/>
      <c r="U359" s="448"/>
      <c r="V359" s="165"/>
      <c r="W359" s="205"/>
      <c r="X359" s="813"/>
      <c r="Y359" s="428"/>
    </row>
    <row r="360" spans="1:26" ht="13" x14ac:dyDescent="0.3">
      <c r="A360" s="865"/>
      <c r="B360" s="891" t="s">
        <v>265</v>
      </c>
      <c r="C360" s="148"/>
      <c r="D360" s="148"/>
      <c r="E360" s="842"/>
      <c r="F360" s="842"/>
      <c r="G360" s="842"/>
      <c r="H360" s="847"/>
      <c r="I360" s="842"/>
      <c r="J360" s="842"/>
      <c r="K360" s="842"/>
      <c r="L360" s="602">
        <f>M360+N360</f>
        <v>30000</v>
      </c>
      <c r="M360" s="805">
        <v>15000</v>
      </c>
      <c r="N360" s="805">
        <v>15000</v>
      </c>
      <c r="O360" s="814">
        <f>P360+Q360</f>
        <v>92944.15</v>
      </c>
      <c r="P360" s="808">
        <f>4950+21000+609+8500+6342.33+7700+1274.07+1950+1515</f>
        <v>53840.4</v>
      </c>
      <c r="Q360" s="808">
        <f>3550+402+209+1563.5+10400+9900+1879.25+3150+3400+750+3900</f>
        <v>39103.75</v>
      </c>
      <c r="R360" s="811">
        <f>O360/10/30586</f>
        <v>0.30387808147518469</v>
      </c>
      <c r="S360" s="579" t="e">
        <f>U360+#REF!</f>
        <v>#REF!</v>
      </c>
      <c r="T360" s="814" t="e">
        <f>U360+#REF!</f>
        <v>#REF!</v>
      </c>
      <c r="U360" s="808">
        <v>53840.4</v>
      </c>
      <c r="V360" s="165"/>
      <c r="W360" s="815"/>
      <c r="X360" s="816"/>
      <c r="Y360" s="428"/>
    </row>
    <row r="361" spans="1:26" ht="13.5" thickBot="1" x14ac:dyDescent="0.35">
      <c r="A361" s="891"/>
      <c r="B361" s="891" t="s">
        <v>266</v>
      </c>
      <c r="C361" s="148"/>
      <c r="D361" s="148"/>
      <c r="E361" s="148"/>
      <c r="F361" s="842"/>
      <c r="G361" s="842"/>
      <c r="H361" s="847"/>
      <c r="I361" s="842"/>
      <c r="J361" s="842"/>
      <c r="K361" s="842"/>
      <c r="L361" s="602" t="s">
        <v>121</v>
      </c>
      <c r="M361" s="805"/>
      <c r="N361" s="805"/>
      <c r="O361" s="814">
        <f>P361+Q361</f>
        <v>38745.5</v>
      </c>
      <c r="P361" s="808">
        <f>4092</f>
        <v>4092</v>
      </c>
      <c r="Q361" s="808">
        <f>13312.5+21341</f>
        <v>34653.5</v>
      </c>
      <c r="R361" s="811">
        <f>O361/10/30586</f>
        <v>0.1266772379520042</v>
      </c>
      <c r="S361" s="579" t="e">
        <f>U361+#REF!</f>
        <v>#REF!</v>
      </c>
      <c r="T361" s="814" t="e">
        <f>U361+#REF!</f>
        <v>#REF!</v>
      </c>
      <c r="U361" s="448">
        <v>4092</v>
      </c>
      <c r="V361" s="165"/>
      <c r="W361" s="584"/>
      <c r="X361" s="817"/>
      <c r="Y361" s="445"/>
    </row>
    <row r="362" spans="1:26" ht="13.5" thickBot="1" x14ac:dyDescent="0.35">
      <c r="A362" s="100"/>
      <c r="B362" s="398" t="s">
        <v>267</v>
      </c>
      <c r="C362" s="818"/>
      <c r="D362" s="818"/>
      <c r="E362" s="718"/>
      <c r="F362" s="718"/>
      <c r="G362" s="718"/>
      <c r="H362" s="718"/>
      <c r="I362" s="718"/>
      <c r="J362" s="718"/>
      <c r="K362" s="718"/>
      <c r="L362" s="819"/>
      <c r="M362" s="819"/>
      <c r="N362" s="819"/>
      <c r="O362" s="101"/>
      <c r="P362" s="101"/>
      <c r="Q362" s="101"/>
      <c r="R362" s="101"/>
      <c r="S362" s="101"/>
      <c r="T362" s="101"/>
      <c r="U362" s="101"/>
      <c r="V362" s="820"/>
      <c r="W362" s="820"/>
      <c r="X362" s="682"/>
      <c r="Y362" s="51"/>
    </row>
    <row r="363" spans="1:26" ht="13.5" thickBot="1" x14ac:dyDescent="0.35">
      <c r="A363" s="821"/>
      <c r="B363" s="822" t="s">
        <v>268</v>
      </c>
      <c r="C363" s="823"/>
      <c r="D363" s="823"/>
      <c r="E363" s="823"/>
      <c r="F363" s="823"/>
      <c r="G363" s="823"/>
      <c r="H363" s="823"/>
      <c r="I363" s="823"/>
      <c r="J363" s="823"/>
      <c r="K363" s="823"/>
      <c r="L363" s="824"/>
      <c r="M363" s="824"/>
      <c r="N363" s="824"/>
      <c r="O363" s="803"/>
      <c r="P363" s="803"/>
      <c r="Q363" s="803"/>
      <c r="R363" s="803"/>
      <c r="S363" s="803"/>
      <c r="T363" s="803"/>
      <c r="U363" s="803"/>
      <c r="V363" s="825">
        <f>W363+X363</f>
        <v>123120.49</v>
      </c>
      <c r="W363" s="825">
        <f>W354+W356</f>
        <v>58214.65</v>
      </c>
      <c r="X363" s="826">
        <f>X354+X356</f>
        <v>64905.840000000004</v>
      </c>
      <c r="Y363" s="101"/>
      <c r="Z363" s="838"/>
    </row>
    <row r="364" spans="1:26" x14ac:dyDescent="0.25"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546"/>
      <c r="M364" s="546"/>
      <c r="N364" s="546"/>
    </row>
    <row r="365" spans="1:26" x14ac:dyDescent="0.25"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546"/>
      <c r="M365" s="546"/>
      <c r="N365" s="546"/>
    </row>
    <row r="366" spans="1:26" ht="13" x14ac:dyDescent="0.3">
      <c r="B366" s="1168" t="s">
        <v>398</v>
      </c>
      <c r="C366" s="1169"/>
      <c r="D366" s="1169"/>
      <c r="E366" s="1169"/>
      <c r="F366" s="1169"/>
      <c r="G366" s="1169"/>
      <c r="H366" s="1169"/>
      <c r="I366" s="1169"/>
      <c r="J366" s="1169"/>
      <c r="K366" s="1169"/>
      <c r="L366" s="1170"/>
      <c r="M366" s="1170"/>
      <c r="N366" s="1170"/>
      <c r="O366" s="1169"/>
      <c r="P366" s="38"/>
      <c r="Q366" s="38"/>
    </row>
    <row r="367" spans="1:26" x14ac:dyDescent="0.25"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546"/>
      <c r="M367" s="546"/>
      <c r="N367" s="546"/>
    </row>
    <row r="368" spans="1:26" x14ac:dyDescent="0.25"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546"/>
      <c r="M368" s="546"/>
      <c r="N368" s="546"/>
    </row>
    <row r="369" spans="2:14" x14ac:dyDescent="0.25"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546"/>
      <c r="M369" s="546"/>
      <c r="N369" s="546"/>
    </row>
    <row r="370" spans="2:14" x14ac:dyDescent="0.25"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546"/>
      <c r="M370" s="546"/>
      <c r="N370" s="546"/>
    </row>
    <row r="371" spans="2:14" x14ac:dyDescent="0.25"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546"/>
      <c r="M371" s="546"/>
      <c r="N371" s="546"/>
    </row>
    <row r="372" spans="2:14" x14ac:dyDescent="0.25"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546"/>
      <c r="M372" s="546"/>
      <c r="N372" s="546"/>
    </row>
    <row r="373" spans="2:14" x14ac:dyDescent="0.25"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546"/>
      <c r="M373" s="546"/>
      <c r="N373" s="546"/>
    </row>
    <row r="374" spans="2:14" x14ac:dyDescent="0.25"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546"/>
      <c r="M374" s="546"/>
      <c r="N374" s="546"/>
    </row>
    <row r="375" spans="2:14" x14ac:dyDescent="0.25"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546"/>
      <c r="M375" s="546"/>
      <c r="N375" s="546"/>
    </row>
    <row r="376" spans="2:14" x14ac:dyDescent="0.25"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546"/>
      <c r="M376" s="546"/>
      <c r="N376" s="546"/>
    </row>
    <row r="377" spans="2:14" x14ac:dyDescent="0.25"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546"/>
      <c r="M377" s="546"/>
      <c r="N377" s="546"/>
    </row>
    <row r="378" spans="2:14" x14ac:dyDescent="0.25"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546"/>
      <c r="M378" s="546"/>
      <c r="N378" s="546"/>
    </row>
    <row r="379" spans="2:14" x14ac:dyDescent="0.25"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546"/>
      <c r="M379" s="546"/>
      <c r="N379" s="546"/>
    </row>
    <row r="380" spans="2:14" x14ac:dyDescent="0.25"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546"/>
      <c r="M380" s="546"/>
      <c r="N380" s="546"/>
    </row>
    <row r="381" spans="2:14" x14ac:dyDescent="0.25"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546"/>
      <c r="M381" s="546"/>
      <c r="N381" s="546"/>
    </row>
    <row r="382" spans="2:14" x14ac:dyDescent="0.25"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546"/>
      <c r="M382" s="546"/>
      <c r="N382" s="546"/>
    </row>
    <row r="383" spans="2:14" x14ac:dyDescent="0.25"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546"/>
      <c r="M383" s="546"/>
      <c r="N383" s="546"/>
    </row>
    <row r="384" spans="2:14" x14ac:dyDescent="0.25"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546"/>
      <c r="M384" s="546"/>
      <c r="N384" s="546"/>
    </row>
    <row r="385" spans="2:14" x14ac:dyDescent="0.25"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546"/>
      <c r="M385" s="546"/>
      <c r="N385" s="546"/>
    </row>
    <row r="386" spans="2:14" x14ac:dyDescent="0.25"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546"/>
      <c r="M386" s="546"/>
      <c r="N386" s="546"/>
    </row>
    <row r="387" spans="2:14" x14ac:dyDescent="0.25"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546"/>
      <c r="M387" s="546"/>
      <c r="N387" s="546"/>
    </row>
    <row r="388" spans="2:14" x14ac:dyDescent="0.25"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546"/>
      <c r="M388" s="546"/>
      <c r="N388" s="546"/>
    </row>
    <row r="389" spans="2:14" x14ac:dyDescent="0.25"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546"/>
      <c r="M389" s="546"/>
      <c r="N389" s="546"/>
    </row>
    <row r="390" spans="2:14" x14ac:dyDescent="0.25"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</row>
    <row r="391" spans="2:14" x14ac:dyDescent="0.25"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</row>
    <row r="392" spans="2:14" x14ac:dyDescent="0.25"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</row>
    <row r="393" spans="2:14" x14ac:dyDescent="0.25"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</row>
    <row r="394" spans="2:14" x14ac:dyDescent="0.25"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</row>
    <row r="395" spans="2:14" x14ac:dyDescent="0.25"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</row>
    <row r="396" spans="2:14" x14ac:dyDescent="0.25"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</row>
    <row r="397" spans="2:14" x14ac:dyDescent="0.25"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</row>
    <row r="398" spans="2:14" x14ac:dyDescent="0.25"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</row>
    <row r="399" spans="2:14" x14ac:dyDescent="0.25"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</row>
    <row r="400" spans="2:14" x14ac:dyDescent="0.25"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</row>
    <row r="401" spans="2:14" x14ac:dyDescent="0.25"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</row>
    <row r="402" spans="2:14" x14ac:dyDescent="0.25"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</row>
    <row r="403" spans="2:14" x14ac:dyDescent="0.25"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</row>
    <row r="404" spans="2:14" x14ac:dyDescent="0.25"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</row>
    <row r="405" spans="2:14" x14ac:dyDescent="0.25"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</row>
    <row r="406" spans="2:14" x14ac:dyDescent="0.25"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</row>
    <row r="407" spans="2:14" x14ac:dyDescent="0.25"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</row>
    <row r="408" spans="2:14" x14ac:dyDescent="0.25"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</row>
    <row r="409" spans="2:14" x14ac:dyDescent="0.25"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</row>
    <row r="410" spans="2:14" x14ac:dyDescent="0.25"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</row>
    <row r="411" spans="2:14" x14ac:dyDescent="0.25"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</row>
    <row r="412" spans="2:14" x14ac:dyDescent="0.25"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</row>
    <row r="413" spans="2:14" x14ac:dyDescent="0.25"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</row>
    <row r="414" spans="2:14" x14ac:dyDescent="0.25"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</row>
    <row r="415" spans="2:14" x14ac:dyDescent="0.25"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</row>
    <row r="416" spans="2:14" x14ac:dyDescent="0.25"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</row>
    <row r="417" spans="2:14" x14ac:dyDescent="0.25"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</row>
    <row r="418" spans="2:14" x14ac:dyDescent="0.25"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</row>
    <row r="419" spans="2:14" x14ac:dyDescent="0.25"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</row>
    <row r="420" spans="2:14" x14ac:dyDescent="0.25"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</row>
    <row r="421" spans="2:14" x14ac:dyDescent="0.25"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</row>
    <row r="422" spans="2:14" x14ac:dyDescent="0.25"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</row>
    <row r="423" spans="2:14" x14ac:dyDescent="0.25"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</row>
    <row r="424" spans="2:14" x14ac:dyDescent="0.25"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</row>
    <row r="425" spans="2:14" x14ac:dyDescent="0.25"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</row>
    <row r="426" spans="2:14" x14ac:dyDescent="0.25"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</row>
    <row r="427" spans="2:14" x14ac:dyDescent="0.25"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</row>
    <row r="428" spans="2:14" x14ac:dyDescent="0.25"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</row>
    <row r="429" spans="2:14" x14ac:dyDescent="0.25"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</row>
    <row r="430" spans="2:14" x14ac:dyDescent="0.25"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</row>
    <row r="431" spans="2:14" x14ac:dyDescent="0.25"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</row>
    <row r="432" spans="2:14" x14ac:dyDescent="0.25"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</row>
    <row r="433" spans="2:14" x14ac:dyDescent="0.25"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</row>
    <row r="434" spans="2:14" x14ac:dyDescent="0.25"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</row>
    <row r="435" spans="2:14" x14ac:dyDescent="0.25"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</row>
    <row r="436" spans="2:14" x14ac:dyDescent="0.25"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</row>
    <row r="437" spans="2:14" x14ac:dyDescent="0.25"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</row>
    <row r="438" spans="2:14" x14ac:dyDescent="0.25"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</row>
    <row r="439" spans="2:14" x14ac:dyDescent="0.25"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</row>
    <row r="440" spans="2:14" x14ac:dyDescent="0.25"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</row>
    <row r="441" spans="2:14" x14ac:dyDescent="0.25"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</row>
    <row r="442" spans="2:14" x14ac:dyDescent="0.25"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</row>
    <row r="443" spans="2:14" x14ac:dyDescent="0.25"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</row>
    <row r="444" spans="2:14" x14ac:dyDescent="0.25"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</row>
    <row r="445" spans="2:14" x14ac:dyDescent="0.25"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</row>
    <row r="446" spans="2:14" x14ac:dyDescent="0.25"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</row>
    <row r="447" spans="2:14" x14ac:dyDescent="0.25"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</row>
    <row r="448" spans="2:14" x14ac:dyDescent="0.25"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</row>
    <row r="449" spans="2:14" x14ac:dyDescent="0.25"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</row>
    <row r="450" spans="2:14" x14ac:dyDescent="0.25"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</row>
    <row r="451" spans="2:14" x14ac:dyDescent="0.25"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</row>
    <row r="452" spans="2:14" x14ac:dyDescent="0.25"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</row>
    <row r="453" spans="2:14" x14ac:dyDescent="0.25"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</row>
    <row r="454" spans="2:14" x14ac:dyDescent="0.25"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</row>
    <row r="455" spans="2:14" x14ac:dyDescent="0.25"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</row>
    <row r="456" spans="2:14" x14ac:dyDescent="0.25"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</row>
    <row r="457" spans="2:14" x14ac:dyDescent="0.25"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</row>
    <row r="458" spans="2:14" x14ac:dyDescent="0.25"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</row>
    <row r="459" spans="2:14" x14ac:dyDescent="0.25"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</row>
    <row r="460" spans="2:14" x14ac:dyDescent="0.25"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</row>
    <row r="461" spans="2:14" x14ac:dyDescent="0.25"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</row>
    <row r="462" spans="2:14" x14ac:dyDescent="0.25"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</row>
    <row r="463" spans="2:14" x14ac:dyDescent="0.25"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</row>
    <row r="464" spans="2:14" x14ac:dyDescent="0.25"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</row>
    <row r="465" spans="2:14" x14ac:dyDescent="0.25"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</row>
    <row r="466" spans="2:14" x14ac:dyDescent="0.25"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</row>
    <row r="467" spans="2:14" x14ac:dyDescent="0.25"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</row>
    <row r="468" spans="2:14" x14ac:dyDescent="0.25"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</row>
    <row r="469" spans="2:14" x14ac:dyDescent="0.25"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</row>
    <row r="470" spans="2:14" x14ac:dyDescent="0.25"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</row>
    <row r="471" spans="2:14" x14ac:dyDescent="0.25"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</row>
    <row r="472" spans="2:14" x14ac:dyDescent="0.25"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</row>
    <row r="473" spans="2:14" x14ac:dyDescent="0.25"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</row>
    <row r="474" spans="2:14" x14ac:dyDescent="0.25"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</row>
    <row r="475" spans="2:14" x14ac:dyDescent="0.25"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</row>
    <row r="476" spans="2:14" x14ac:dyDescent="0.25"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</row>
    <row r="477" spans="2:14" x14ac:dyDescent="0.25"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</row>
    <row r="478" spans="2:14" x14ac:dyDescent="0.25"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</row>
    <row r="479" spans="2:14" x14ac:dyDescent="0.25"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</row>
    <row r="480" spans="2:14" x14ac:dyDescent="0.25"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</row>
    <row r="481" spans="2:14" x14ac:dyDescent="0.25"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</row>
    <row r="482" spans="2:14" x14ac:dyDescent="0.25"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</row>
    <row r="483" spans="2:14" x14ac:dyDescent="0.25"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</row>
    <row r="484" spans="2:14" x14ac:dyDescent="0.25"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</row>
    <row r="485" spans="2:14" x14ac:dyDescent="0.25"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</row>
    <row r="486" spans="2:14" x14ac:dyDescent="0.25"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</row>
    <row r="487" spans="2:14" x14ac:dyDescent="0.25"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</row>
    <row r="488" spans="2:14" x14ac:dyDescent="0.25"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</row>
    <row r="489" spans="2:14" x14ac:dyDescent="0.25"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</row>
    <row r="490" spans="2:14" x14ac:dyDescent="0.25"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</row>
    <row r="491" spans="2:14" x14ac:dyDescent="0.25"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</row>
    <row r="492" spans="2:14" x14ac:dyDescent="0.25"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</row>
    <row r="493" spans="2:14" x14ac:dyDescent="0.25"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</row>
    <row r="494" spans="2:14" x14ac:dyDescent="0.25"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</row>
    <row r="495" spans="2:14" x14ac:dyDescent="0.25"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</row>
    <row r="496" spans="2:14" x14ac:dyDescent="0.25"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</row>
    <row r="497" spans="2:14" x14ac:dyDescent="0.25"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</row>
    <row r="498" spans="2:14" x14ac:dyDescent="0.25"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</row>
    <row r="499" spans="2:14" x14ac:dyDescent="0.25"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</row>
    <row r="500" spans="2:14" x14ac:dyDescent="0.25"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</row>
    <row r="501" spans="2:14" x14ac:dyDescent="0.25"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</row>
    <row r="502" spans="2:14" x14ac:dyDescent="0.25"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</row>
    <row r="503" spans="2:14" x14ac:dyDescent="0.25"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</row>
    <row r="504" spans="2:14" x14ac:dyDescent="0.25"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</row>
    <row r="505" spans="2:14" x14ac:dyDescent="0.25"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</row>
    <row r="506" spans="2:14" x14ac:dyDescent="0.25"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</row>
    <row r="507" spans="2:14" x14ac:dyDescent="0.25"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</row>
    <row r="508" spans="2:14" x14ac:dyDescent="0.25"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</row>
    <row r="509" spans="2:14" x14ac:dyDescent="0.25"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</row>
    <row r="510" spans="2:14" x14ac:dyDescent="0.25"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</row>
    <row r="511" spans="2:14" x14ac:dyDescent="0.25"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</row>
    <row r="512" spans="2:14" x14ac:dyDescent="0.25"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</row>
    <row r="513" spans="2:14" x14ac:dyDescent="0.25"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</row>
    <row r="514" spans="2:14" x14ac:dyDescent="0.25"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</row>
    <row r="515" spans="2:14" x14ac:dyDescent="0.25"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</row>
    <row r="516" spans="2:14" x14ac:dyDescent="0.25"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</row>
    <row r="517" spans="2:14" x14ac:dyDescent="0.25"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</row>
    <row r="518" spans="2:14" x14ac:dyDescent="0.25"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</row>
    <row r="519" spans="2:14" x14ac:dyDescent="0.25"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</row>
    <row r="520" spans="2:14" x14ac:dyDescent="0.25"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</row>
    <row r="521" spans="2:14" x14ac:dyDescent="0.25"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</row>
    <row r="522" spans="2:14" x14ac:dyDescent="0.25"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</row>
    <row r="523" spans="2:14" x14ac:dyDescent="0.25"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</row>
    <row r="524" spans="2:14" x14ac:dyDescent="0.25"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</row>
    <row r="525" spans="2:14" x14ac:dyDescent="0.25"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</row>
    <row r="526" spans="2:14" x14ac:dyDescent="0.25"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</row>
    <row r="527" spans="2:14" x14ac:dyDescent="0.25"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</row>
    <row r="528" spans="2:14" x14ac:dyDescent="0.25"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</row>
    <row r="529" spans="2:14" x14ac:dyDescent="0.25"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</row>
    <row r="530" spans="2:14" x14ac:dyDescent="0.25"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</row>
    <row r="531" spans="2:14" x14ac:dyDescent="0.25"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</row>
    <row r="532" spans="2:14" x14ac:dyDescent="0.25">
      <c r="B532" s="104"/>
    </row>
    <row r="533" spans="2:14" x14ac:dyDescent="0.25">
      <c r="B533" s="104"/>
    </row>
  </sheetData>
  <mergeCells count="30">
    <mergeCell ref="Z116:AJ116"/>
    <mergeCell ref="Z117:AJ117"/>
    <mergeCell ref="H191:J191"/>
    <mergeCell ref="V81:X81"/>
    <mergeCell ref="B111:J111"/>
    <mergeCell ref="B112:J112"/>
    <mergeCell ref="B113:J113"/>
    <mergeCell ref="B165:L165"/>
    <mergeCell ref="Z176:AG176"/>
    <mergeCell ref="Z181:AL181"/>
    <mergeCell ref="B182:D182"/>
    <mergeCell ref="Z182:AK182"/>
    <mergeCell ref="B294:H294"/>
    <mergeCell ref="Z198:AA198"/>
    <mergeCell ref="Z199:AC200"/>
    <mergeCell ref="Z232:AA232"/>
    <mergeCell ref="W236:W238"/>
    <mergeCell ref="X236:X238"/>
    <mergeCell ref="B257:G257"/>
    <mergeCell ref="H257:K257"/>
    <mergeCell ref="F261:J261"/>
    <mergeCell ref="Z261:AD261"/>
    <mergeCell ref="G262:K262"/>
    <mergeCell ref="Z263:AA263"/>
    <mergeCell ref="Z264:AB264"/>
    <mergeCell ref="AA309:AB309"/>
    <mergeCell ref="B316:K316"/>
    <mergeCell ref="B327:K327"/>
    <mergeCell ref="B347:K347"/>
    <mergeCell ref="B350:K350"/>
  </mergeCells>
  <pageMargins left="0.39370078740157483" right="0" top="0.39370078740157483" bottom="0.39370078740157483" header="0" footer="0"/>
  <pageSetup paperSize="9" scale="34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612"/>
  <sheetViews>
    <sheetView tabSelected="1" topLeftCell="C437" zoomScale="85" zoomScaleNormal="85" workbookViewId="0">
      <selection activeCell="C1" sqref="B1:X469"/>
    </sheetView>
  </sheetViews>
  <sheetFormatPr defaultRowHeight="12.5" x14ac:dyDescent="0.25"/>
  <cols>
    <col min="1" max="1" width="13.1796875" customWidth="1"/>
    <col min="2" max="2" width="12" customWidth="1"/>
    <col min="4" max="4" width="11" customWidth="1"/>
    <col min="7" max="7" width="14.1796875" customWidth="1"/>
    <col min="9" max="9" width="11.7265625" bestFit="1" customWidth="1"/>
    <col min="10" max="10" width="32.453125" customWidth="1"/>
    <col min="11" max="11" width="0.54296875" customWidth="1"/>
    <col min="12" max="14" width="15.81640625" hidden="1" customWidth="1"/>
    <col min="15" max="20" width="9" hidden="1" customWidth="1"/>
    <col min="21" max="21" width="0.453125" hidden="1" customWidth="1"/>
    <col min="22" max="22" width="20.26953125" customWidth="1"/>
    <col min="23" max="23" width="21.453125" customWidth="1"/>
    <col min="24" max="24" width="19.81640625" customWidth="1"/>
    <col min="25" max="25" width="11.453125" hidden="1" customWidth="1"/>
    <col min="26" max="26" width="14.81640625" customWidth="1"/>
    <col min="27" max="27" width="14.7265625" customWidth="1"/>
    <col min="28" max="28" width="13.81640625" customWidth="1"/>
    <col min="29" max="29" width="16" customWidth="1"/>
    <col min="30" max="30" width="11.7265625" hidden="1" customWidth="1"/>
    <col min="31" max="32" width="8.7265625" hidden="1" customWidth="1"/>
    <col min="34" max="34" width="9.1796875" customWidth="1"/>
    <col min="38" max="38" width="15.54296875" customWidth="1"/>
  </cols>
  <sheetData>
    <row r="1" spans="2:24" ht="15.5" x14ac:dyDescent="0.35">
      <c r="C1" s="1"/>
      <c r="D1" s="2" t="s">
        <v>587</v>
      </c>
      <c r="E1" s="3"/>
      <c r="F1" s="3"/>
      <c r="G1" s="4"/>
      <c r="H1" s="3"/>
      <c r="I1" s="5"/>
      <c r="J1" s="5"/>
      <c r="K1" s="6"/>
      <c r="L1" s="6"/>
      <c r="M1" s="6"/>
      <c r="N1" s="6"/>
      <c r="O1" s="6"/>
      <c r="P1" s="6"/>
    </row>
    <row r="2" spans="2:24" ht="15.5" x14ac:dyDescent="0.35">
      <c r="C2" s="7" t="s">
        <v>588</v>
      </c>
      <c r="D2" s="3"/>
      <c r="E2" s="3"/>
      <c r="F2" s="3"/>
      <c r="G2" s="4"/>
      <c r="H2" s="3"/>
      <c r="I2" s="5"/>
      <c r="J2" s="5"/>
      <c r="K2" s="6"/>
      <c r="L2" s="6"/>
      <c r="M2" s="6"/>
      <c r="N2" s="6"/>
      <c r="O2" s="6"/>
      <c r="P2" s="6"/>
    </row>
    <row r="3" spans="2:24" ht="14" x14ac:dyDescent="0.3">
      <c r="D3" s="8"/>
      <c r="E3" s="9" t="s">
        <v>318</v>
      </c>
      <c r="F3" s="10"/>
      <c r="G3" s="11"/>
      <c r="I3" s="6"/>
      <c r="J3" s="6"/>
      <c r="K3" s="6"/>
      <c r="L3" s="6"/>
      <c r="M3" s="6"/>
      <c r="N3" s="6"/>
      <c r="O3" s="6"/>
      <c r="P3" s="6"/>
    </row>
    <row r="4" spans="2:24" x14ac:dyDescent="0.25">
      <c r="D4" s="8"/>
      <c r="G4" s="12"/>
      <c r="I4" s="6"/>
      <c r="J4" s="6"/>
      <c r="K4" s="6"/>
      <c r="L4" s="6"/>
      <c r="M4" s="6"/>
      <c r="N4" s="6"/>
      <c r="O4" s="6"/>
      <c r="P4" s="6"/>
    </row>
    <row r="5" spans="2:24" ht="13" x14ac:dyDescent="0.3">
      <c r="B5" s="13" t="s">
        <v>1</v>
      </c>
      <c r="C5" s="14"/>
      <c r="D5" s="14"/>
      <c r="E5" s="14"/>
      <c r="F5" s="14"/>
      <c r="G5" s="14"/>
      <c r="H5" s="14"/>
      <c r="I5" s="6"/>
      <c r="J5" s="6"/>
      <c r="K5" s="6"/>
      <c r="L5" s="6"/>
      <c r="M5" s="6"/>
      <c r="N5" s="6"/>
      <c r="O5" s="6"/>
      <c r="P5" s="6"/>
      <c r="Q5" s="14"/>
      <c r="R5" s="14"/>
      <c r="S5" s="14"/>
      <c r="T5" s="14"/>
      <c r="U5" s="14"/>
      <c r="V5" s="14"/>
      <c r="W5" s="15"/>
      <c r="X5" s="15"/>
    </row>
    <row r="6" spans="2:24" x14ac:dyDescent="0.25">
      <c r="B6" s="16" t="s">
        <v>2</v>
      </c>
      <c r="C6" s="14"/>
      <c r="D6" s="14"/>
      <c r="E6" s="14"/>
      <c r="F6" s="14"/>
      <c r="G6" s="14"/>
      <c r="H6" s="14"/>
      <c r="I6" s="6"/>
      <c r="J6" s="6"/>
      <c r="K6" s="6"/>
      <c r="L6" s="6"/>
      <c r="M6" s="6"/>
      <c r="N6" s="6"/>
      <c r="O6" s="6"/>
      <c r="P6" s="6"/>
      <c r="Q6" s="14"/>
      <c r="R6" s="14"/>
      <c r="S6" s="14"/>
      <c r="T6" s="14"/>
      <c r="U6" s="14"/>
      <c r="V6" s="14"/>
      <c r="W6" s="15"/>
      <c r="X6" s="15"/>
    </row>
    <row r="7" spans="2:24" x14ac:dyDescent="0.25">
      <c r="B7" s="17" t="s">
        <v>3</v>
      </c>
      <c r="C7" s="14"/>
      <c r="D7" s="14"/>
      <c r="E7" s="14"/>
      <c r="F7" s="14"/>
      <c r="G7" s="14"/>
      <c r="H7" s="14"/>
      <c r="I7" s="6"/>
      <c r="J7" s="6"/>
      <c r="K7" s="6"/>
      <c r="L7" s="6"/>
      <c r="M7" s="6"/>
      <c r="N7" s="6"/>
      <c r="O7" s="6"/>
      <c r="P7" s="6"/>
      <c r="Q7" s="14"/>
      <c r="R7" s="14"/>
      <c r="S7" s="14"/>
      <c r="T7" s="14"/>
      <c r="U7" s="14"/>
      <c r="V7" s="14"/>
      <c r="W7" s="15"/>
      <c r="X7" s="15"/>
    </row>
    <row r="8" spans="2:24" x14ac:dyDescent="0.25">
      <c r="B8" s="16" t="s">
        <v>4</v>
      </c>
      <c r="C8" s="14"/>
      <c r="D8" s="14"/>
      <c r="E8" s="14"/>
      <c r="F8" s="14"/>
      <c r="G8" s="14"/>
      <c r="H8" s="14"/>
      <c r="I8" s="6"/>
      <c r="J8" s="6"/>
      <c r="K8" s="6"/>
      <c r="L8" s="6"/>
      <c r="M8" s="6"/>
      <c r="N8" s="6"/>
      <c r="O8" s="6"/>
      <c r="P8" s="6"/>
      <c r="Q8" s="14"/>
      <c r="R8" s="14"/>
      <c r="S8" s="14"/>
      <c r="T8" s="14"/>
      <c r="U8" s="14"/>
      <c r="V8" s="14"/>
      <c r="W8" s="15"/>
      <c r="X8" s="15"/>
    </row>
    <row r="9" spans="2:24" x14ac:dyDescent="0.25">
      <c r="B9" s="16" t="s">
        <v>5</v>
      </c>
      <c r="C9" s="14"/>
      <c r="D9" s="14"/>
      <c r="E9" s="14"/>
      <c r="F9" s="14"/>
      <c r="G9" s="14"/>
      <c r="H9" s="14"/>
      <c r="I9" s="6"/>
      <c r="J9" s="6"/>
      <c r="K9" s="6"/>
      <c r="L9" s="6"/>
      <c r="M9" s="6"/>
      <c r="N9" s="6"/>
      <c r="O9" s="6"/>
      <c r="P9" s="6"/>
      <c r="Q9" s="14"/>
      <c r="R9" s="14"/>
      <c r="S9" s="14"/>
      <c r="T9" s="14"/>
      <c r="U9" s="14"/>
      <c r="V9" s="14"/>
      <c r="W9" s="15"/>
      <c r="X9" s="15"/>
    </row>
    <row r="10" spans="2:24" x14ac:dyDescent="0.25">
      <c r="B10" s="16" t="s">
        <v>6</v>
      </c>
      <c r="C10" s="14"/>
      <c r="D10" s="14"/>
      <c r="E10" s="14"/>
      <c r="F10" s="14"/>
      <c r="G10" s="14"/>
      <c r="H10" s="14"/>
      <c r="I10" s="6"/>
      <c r="J10" s="6"/>
      <c r="K10" s="6"/>
      <c r="L10" s="6"/>
      <c r="M10" s="6"/>
      <c r="N10" s="6"/>
      <c r="O10" s="6"/>
      <c r="P10" s="6"/>
      <c r="Q10" s="14"/>
      <c r="R10" s="14"/>
      <c r="S10" s="14"/>
      <c r="T10" s="14"/>
      <c r="U10" s="14"/>
      <c r="V10" s="14"/>
      <c r="W10" s="15"/>
      <c r="X10" s="15"/>
    </row>
    <row r="11" spans="2:24" x14ac:dyDescent="0.25">
      <c r="B11" s="16" t="s">
        <v>7</v>
      </c>
      <c r="C11" s="14"/>
      <c r="D11" s="14"/>
      <c r="E11" s="14"/>
      <c r="F11" s="14"/>
      <c r="G11" s="14"/>
      <c r="H11" s="14"/>
      <c r="I11" s="6"/>
      <c r="J11" s="6"/>
      <c r="K11" s="6"/>
      <c r="L11" s="6"/>
      <c r="M11" s="6"/>
      <c r="N11" s="6"/>
      <c r="O11" s="6"/>
      <c r="P11" s="6"/>
      <c r="Q11" s="14"/>
      <c r="R11" s="14"/>
      <c r="S11" s="14"/>
      <c r="T11" s="14"/>
      <c r="U11" s="14"/>
      <c r="V11" s="14"/>
      <c r="W11" s="15"/>
      <c r="X11" s="15"/>
    </row>
    <row r="12" spans="2:24" x14ac:dyDescent="0.25">
      <c r="B12" s="16" t="s">
        <v>8</v>
      </c>
      <c r="C12" s="14"/>
      <c r="D12" s="14"/>
      <c r="E12" s="14"/>
      <c r="F12" s="14"/>
      <c r="G12" s="14"/>
      <c r="H12" s="16"/>
      <c r="I12" s="6"/>
      <c r="J12" s="6"/>
      <c r="K12" s="6"/>
      <c r="L12" s="6"/>
      <c r="M12" s="6"/>
      <c r="N12" s="6"/>
      <c r="O12" s="6"/>
      <c r="P12" s="6"/>
      <c r="Q12" s="14"/>
      <c r="R12" s="14"/>
      <c r="S12" s="14"/>
      <c r="T12" s="14"/>
      <c r="U12" s="14"/>
      <c r="V12" s="14"/>
      <c r="W12" s="15"/>
      <c r="X12" s="15"/>
    </row>
    <row r="13" spans="2:24" x14ac:dyDescent="0.25">
      <c r="B13" s="14"/>
      <c r="C13" s="14"/>
      <c r="D13" s="14"/>
      <c r="E13" s="14"/>
      <c r="F13" s="14"/>
      <c r="G13" s="14"/>
      <c r="H13" s="16"/>
      <c r="I13" s="6"/>
      <c r="J13" s="6"/>
      <c r="K13" s="6"/>
      <c r="L13" s="6"/>
      <c r="M13" s="6"/>
      <c r="N13" s="6"/>
      <c r="O13" s="6"/>
      <c r="P13" s="6"/>
      <c r="Q13" s="14"/>
      <c r="R13" s="14"/>
      <c r="S13" s="14"/>
      <c r="T13" s="14"/>
      <c r="U13" s="14"/>
      <c r="V13" s="14"/>
      <c r="W13" s="15"/>
      <c r="X13" s="15"/>
    </row>
    <row r="14" spans="2:24" ht="13" x14ac:dyDescent="0.3">
      <c r="B14" s="13" t="s">
        <v>9</v>
      </c>
      <c r="C14" s="14"/>
      <c r="D14" s="14"/>
      <c r="E14" s="14"/>
      <c r="F14" s="14"/>
      <c r="G14" s="14"/>
      <c r="H14" s="18"/>
      <c r="I14" s="6"/>
      <c r="J14" s="6"/>
      <c r="K14" s="6"/>
      <c r="L14" s="6"/>
      <c r="M14" s="6"/>
      <c r="N14" s="6"/>
      <c r="O14" s="6"/>
      <c r="P14" s="6"/>
      <c r="Q14" s="14"/>
      <c r="R14" s="14"/>
      <c r="S14" s="14"/>
      <c r="T14" s="14"/>
      <c r="U14" s="14"/>
      <c r="V14" s="14"/>
      <c r="W14" s="15"/>
      <c r="X14" s="15"/>
    </row>
    <row r="15" spans="2:24" x14ac:dyDescent="0.25">
      <c r="B15" s="16" t="s">
        <v>2</v>
      </c>
      <c r="C15" s="14"/>
      <c r="D15" s="14"/>
      <c r="E15" s="14"/>
      <c r="F15" s="14"/>
      <c r="G15" s="14"/>
      <c r="H15" s="14"/>
      <c r="I15" s="6"/>
      <c r="J15" s="6"/>
      <c r="K15" s="6"/>
      <c r="L15" s="6"/>
      <c r="M15" s="6"/>
      <c r="N15" s="6"/>
      <c r="O15" s="6"/>
      <c r="P15" s="6"/>
      <c r="Q15" s="14"/>
      <c r="R15" s="14"/>
      <c r="S15" s="14"/>
      <c r="T15" s="14"/>
      <c r="U15" s="14"/>
      <c r="V15" s="14"/>
      <c r="W15" s="15"/>
      <c r="X15" s="15"/>
    </row>
    <row r="16" spans="2:24" x14ac:dyDescent="0.25">
      <c r="B16" s="17" t="s">
        <v>3</v>
      </c>
      <c r="C16" s="14"/>
      <c r="D16" s="14"/>
      <c r="E16" s="14"/>
      <c r="F16" s="14"/>
      <c r="G16" s="14"/>
      <c r="H16" s="14"/>
      <c r="I16" s="6"/>
      <c r="J16" s="6"/>
      <c r="K16" s="6"/>
      <c r="L16" s="6"/>
      <c r="M16" s="6"/>
      <c r="N16" s="6"/>
      <c r="O16" s="6"/>
      <c r="P16" s="6"/>
      <c r="Q16" s="14"/>
      <c r="R16" s="14"/>
      <c r="S16" s="14"/>
      <c r="T16" s="14"/>
      <c r="U16" s="14"/>
      <c r="V16" s="14"/>
      <c r="W16" s="15"/>
      <c r="X16" s="15"/>
    </row>
    <row r="17" spans="1:25" x14ac:dyDescent="0.25">
      <c r="B17" s="16" t="s">
        <v>4</v>
      </c>
      <c r="C17" s="14"/>
      <c r="D17" s="14"/>
      <c r="E17" s="14"/>
      <c r="F17" s="14"/>
      <c r="G17" s="14"/>
      <c r="H17" s="14"/>
      <c r="I17" s="6"/>
      <c r="J17" s="6"/>
      <c r="K17" s="6"/>
      <c r="L17" s="6"/>
      <c r="M17" s="6"/>
      <c r="N17" s="6"/>
      <c r="O17" s="6"/>
      <c r="P17" s="6"/>
      <c r="Q17" s="14"/>
      <c r="R17" s="14"/>
      <c r="S17" s="14"/>
      <c r="T17" s="14"/>
      <c r="U17" s="14"/>
      <c r="V17" s="14"/>
      <c r="W17" s="15"/>
      <c r="X17" s="15"/>
    </row>
    <row r="18" spans="1:25" x14ac:dyDescent="0.25">
      <c r="B18" s="16" t="s">
        <v>5</v>
      </c>
      <c r="C18" s="14"/>
      <c r="D18" s="14"/>
      <c r="E18" s="14"/>
      <c r="F18" s="14"/>
      <c r="G18" s="14"/>
      <c r="H18" s="14"/>
      <c r="I18" s="6"/>
      <c r="J18" s="6"/>
      <c r="K18" s="6"/>
      <c r="L18" s="6"/>
      <c r="M18" s="6"/>
      <c r="N18" s="6"/>
      <c r="O18" s="6"/>
      <c r="P18" s="6"/>
      <c r="Q18" s="14"/>
      <c r="R18" s="14"/>
      <c r="S18" s="14"/>
      <c r="T18" s="14"/>
      <c r="U18" s="14"/>
      <c r="V18" s="14"/>
      <c r="W18" s="15"/>
      <c r="X18" s="15"/>
    </row>
    <row r="19" spans="1:25" x14ac:dyDescent="0.25">
      <c r="B19" s="16" t="s">
        <v>6</v>
      </c>
      <c r="C19" s="14"/>
      <c r="D19" s="14"/>
      <c r="E19" s="14"/>
      <c r="F19" s="14"/>
      <c r="G19" s="14"/>
      <c r="H19" s="14"/>
      <c r="I19" s="6"/>
      <c r="J19" s="6"/>
      <c r="K19" s="6"/>
      <c r="L19" s="6"/>
      <c r="M19" s="6"/>
      <c r="N19" s="6"/>
      <c r="O19" s="6"/>
      <c r="P19" s="6"/>
      <c r="Q19" s="14"/>
      <c r="R19" s="14"/>
      <c r="S19" s="14"/>
      <c r="T19" s="14"/>
      <c r="U19" s="14"/>
      <c r="V19" s="14"/>
      <c r="W19" s="15"/>
      <c r="X19" s="15"/>
    </row>
    <row r="20" spans="1:25" x14ac:dyDescent="0.25">
      <c r="B20" s="16" t="s">
        <v>7</v>
      </c>
      <c r="C20" s="14"/>
      <c r="D20" s="14"/>
      <c r="E20" s="14"/>
      <c r="F20" s="14"/>
      <c r="G20" s="14"/>
      <c r="H20" s="14"/>
      <c r="I20" s="6"/>
      <c r="J20" s="6"/>
      <c r="K20" s="6"/>
      <c r="L20" s="6"/>
      <c r="M20" s="6"/>
      <c r="N20" s="6"/>
      <c r="O20" s="6"/>
      <c r="P20" s="6"/>
      <c r="Q20" s="14"/>
      <c r="R20" s="14"/>
      <c r="S20" s="14"/>
      <c r="T20" s="14"/>
      <c r="U20" s="14"/>
      <c r="V20" s="14"/>
      <c r="W20" s="15"/>
      <c r="X20" s="15"/>
    </row>
    <row r="21" spans="1:25" x14ac:dyDescent="0.25">
      <c r="B21" s="16" t="s">
        <v>8</v>
      </c>
      <c r="C21" s="14"/>
      <c r="D21" s="14"/>
      <c r="E21" s="14"/>
      <c r="F21" s="14"/>
      <c r="G21" s="14"/>
      <c r="H21" s="14"/>
      <c r="I21" s="6"/>
      <c r="J21" s="6"/>
      <c r="K21" s="6"/>
      <c r="L21" s="6"/>
      <c r="M21" s="6"/>
      <c r="N21" s="6"/>
      <c r="O21" s="6"/>
      <c r="P21" s="6"/>
      <c r="Q21" s="14"/>
      <c r="R21" s="14"/>
      <c r="S21" s="14"/>
      <c r="T21" s="14"/>
      <c r="U21" s="14"/>
      <c r="V21" s="14"/>
      <c r="W21" s="15"/>
      <c r="X21" s="15"/>
    </row>
    <row r="22" spans="1:25" ht="13" x14ac:dyDescent="0.3">
      <c r="B22" s="6"/>
      <c r="C22" s="14"/>
      <c r="D22" s="14"/>
      <c r="E22" s="14"/>
      <c r="F22" s="14"/>
      <c r="G22" s="14"/>
      <c r="H22" s="18"/>
      <c r="I22" s="6"/>
      <c r="J22" s="6"/>
      <c r="K22" s="6"/>
      <c r="L22" s="6"/>
      <c r="M22" s="6"/>
      <c r="N22" s="6"/>
      <c r="O22" s="6"/>
      <c r="P22" s="6"/>
      <c r="Q22" s="14"/>
      <c r="R22" s="14"/>
      <c r="S22" s="14"/>
      <c r="T22" s="14"/>
      <c r="U22" s="14"/>
      <c r="V22" s="14"/>
      <c r="W22" s="15"/>
      <c r="X22" s="15"/>
    </row>
    <row r="23" spans="1:25" ht="13" x14ac:dyDescent="0.3">
      <c r="B23" s="6" t="s">
        <v>10</v>
      </c>
      <c r="C23" s="6"/>
      <c r="D23" s="14"/>
      <c r="E23" s="14"/>
      <c r="F23" s="18"/>
      <c r="G23" s="18"/>
      <c r="H23" s="18"/>
      <c r="I23" s="19"/>
      <c r="J23" s="19"/>
      <c r="K23" s="19"/>
      <c r="L23" s="19"/>
      <c r="M23" s="19"/>
      <c r="N23" s="19"/>
      <c r="O23" s="6"/>
      <c r="P23" s="6"/>
      <c r="Q23" s="14"/>
      <c r="R23" s="14"/>
      <c r="S23" s="14"/>
      <c r="T23" s="14"/>
      <c r="U23" s="14"/>
      <c r="V23" s="14"/>
    </row>
    <row r="24" spans="1:25" ht="13" x14ac:dyDescent="0.3">
      <c r="B24" s="6" t="s">
        <v>11</v>
      </c>
      <c r="C24" s="14"/>
      <c r="D24" s="14"/>
      <c r="E24" s="14"/>
      <c r="F24" s="18"/>
      <c r="G24" s="18"/>
      <c r="H24" s="18"/>
      <c r="I24" s="19"/>
      <c r="J24" s="19"/>
      <c r="K24" s="19"/>
      <c r="L24" s="19"/>
      <c r="M24" s="19"/>
      <c r="N24" s="19"/>
      <c r="O24" s="6"/>
      <c r="P24" s="6"/>
      <c r="Q24" s="14"/>
      <c r="R24" s="14"/>
      <c r="S24" s="14"/>
      <c r="T24" s="14"/>
      <c r="U24" s="14"/>
      <c r="V24" s="14"/>
    </row>
    <row r="25" spans="1:25" ht="13" x14ac:dyDescent="0.3">
      <c r="B25" s="6"/>
      <c r="F25" s="18"/>
      <c r="G25" s="18"/>
      <c r="H25" s="18"/>
      <c r="I25" s="19"/>
      <c r="J25" s="19"/>
      <c r="K25" s="19"/>
      <c r="L25" s="19"/>
      <c r="M25" s="19"/>
      <c r="N25" s="19"/>
      <c r="O25" s="6"/>
      <c r="P25" s="6"/>
    </row>
    <row r="26" spans="1:25" ht="15.5" x14ac:dyDescent="0.35">
      <c r="B26" s="20" t="s">
        <v>12</v>
      </c>
      <c r="C26" s="10"/>
      <c r="D26" s="10"/>
      <c r="E26" s="10"/>
      <c r="F26" s="10"/>
      <c r="G26" s="10"/>
      <c r="H26" s="10"/>
      <c r="I26" s="21"/>
      <c r="J26" s="21"/>
      <c r="K26" s="21"/>
      <c r="L26" s="21"/>
      <c r="M26" s="21"/>
      <c r="N26" s="6"/>
      <c r="O26" s="6"/>
      <c r="P26" s="6"/>
    </row>
    <row r="27" spans="1:25" ht="15.5" x14ac:dyDescent="0.35">
      <c r="B27" s="20" t="s">
        <v>13</v>
      </c>
      <c r="C27" s="22"/>
      <c r="D27" s="22"/>
      <c r="E27" s="23"/>
      <c r="I27" s="6"/>
      <c r="J27" s="6"/>
      <c r="K27" s="6"/>
      <c r="L27" s="6"/>
      <c r="M27" s="6"/>
      <c r="N27" s="6"/>
      <c r="O27" s="6"/>
      <c r="P27" s="6"/>
    </row>
    <row r="28" spans="1:25" ht="13" x14ac:dyDescent="0.3">
      <c r="A28" s="839" t="s">
        <v>14</v>
      </c>
      <c r="B28" s="25" t="s">
        <v>301</v>
      </c>
      <c r="I28" s="6"/>
      <c r="J28" s="26"/>
      <c r="K28" s="6"/>
      <c r="L28" s="6"/>
      <c r="O28" s="6"/>
      <c r="P28" s="6"/>
    </row>
    <row r="29" spans="1:25" ht="13" x14ac:dyDescent="0.3">
      <c r="A29" s="1017"/>
      <c r="B29" s="25"/>
      <c r="D29" s="882"/>
      <c r="E29" s="839" t="s">
        <v>15</v>
      </c>
      <c r="F29" s="860"/>
      <c r="G29" s="860"/>
      <c r="H29" s="839" t="s">
        <v>582</v>
      </c>
      <c r="I29" s="839"/>
      <c r="J29" s="860"/>
      <c r="K29" s="29"/>
      <c r="L29" s="29"/>
      <c r="M29" s="882"/>
      <c r="N29" s="882"/>
      <c r="O29" s="29"/>
      <c r="P29" s="29"/>
      <c r="Q29" s="882"/>
      <c r="R29" s="882"/>
      <c r="S29" s="882"/>
      <c r="T29" s="882"/>
      <c r="U29" s="882"/>
      <c r="V29" s="882"/>
      <c r="W29" s="882"/>
    </row>
    <row r="30" spans="1:25" ht="13" x14ac:dyDescent="0.3">
      <c r="A30" s="1017"/>
      <c r="B30" s="25"/>
      <c r="D30" s="882"/>
      <c r="E30" s="29"/>
      <c r="F30" s="882"/>
      <c r="G30" s="882"/>
      <c r="H30" s="882"/>
      <c r="I30" s="29"/>
      <c r="J30" s="860"/>
      <c r="K30" s="29"/>
      <c r="L30" s="29"/>
      <c r="M30" s="882"/>
      <c r="N30" s="882"/>
      <c r="O30" s="29"/>
      <c r="P30" s="29"/>
      <c r="Q30" s="882"/>
      <c r="R30" s="882"/>
      <c r="S30" s="882"/>
      <c r="T30" s="882"/>
      <c r="U30" s="882"/>
      <c r="V30" s="882"/>
      <c r="W30" s="882"/>
    </row>
    <row r="31" spans="1:25" ht="13" x14ac:dyDescent="0.3">
      <c r="A31" s="1017"/>
      <c r="B31" s="25"/>
      <c r="D31" s="882"/>
      <c r="E31" s="29" t="s">
        <v>589</v>
      </c>
      <c r="F31" s="882"/>
      <c r="G31" s="882"/>
      <c r="H31" s="882"/>
      <c r="I31" s="29"/>
      <c r="J31" s="29"/>
      <c r="K31" s="29"/>
      <c r="L31" s="29"/>
      <c r="M31" s="882"/>
      <c r="N31" s="882"/>
      <c r="O31" s="29"/>
      <c r="P31" s="29"/>
      <c r="Q31" s="882"/>
      <c r="R31" s="882"/>
      <c r="S31" s="882"/>
      <c r="T31" s="882"/>
      <c r="U31" s="882"/>
      <c r="V31" s="882"/>
      <c r="W31" s="882"/>
    </row>
    <row r="32" spans="1:25" ht="13" x14ac:dyDescent="0.3">
      <c r="A32" s="31"/>
      <c r="E32" s="29" t="s">
        <v>328</v>
      </c>
      <c r="F32" s="29"/>
      <c r="G32" s="29"/>
      <c r="H32" s="29"/>
      <c r="I32" s="29"/>
      <c r="J32" s="29"/>
      <c r="K32" s="29"/>
      <c r="L32" s="29"/>
      <c r="M32" s="29"/>
      <c r="N32" s="32"/>
      <c r="O32" s="29"/>
      <c r="P32" s="29"/>
      <c r="Q32" s="23"/>
      <c r="R32" s="23"/>
      <c r="S32" s="23"/>
      <c r="T32" s="23"/>
      <c r="U32" s="23"/>
      <c r="V32" s="33"/>
      <c r="W32" s="33"/>
      <c r="X32" s="33"/>
      <c r="Y32" s="23"/>
    </row>
    <row r="33" spans="1:46" ht="13" x14ac:dyDescent="0.3">
      <c r="A33" s="34"/>
      <c r="B33" s="35"/>
      <c r="C33" s="35"/>
      <c r="E33" s="29" t="s">
        <v>385</v>
      </c>
      <c r="F33" s="29"/>
      <c r="G33" s="29"/>
      <c r="H33" s="29"/>
      <c r="I33" s="29"/>
      <c r="J33" s="29"/>
      <c r="K33" s="29"/>
      <c r="L33" s="29"/>
      <c r="M33" s="29"/>
      <c r="N33" s="32"/>
      <c r="O33" s="29"/>
      <c r="P33" s="29"/>
      <c r="Q33" s="23"/>
      <c r="R33" s="23"/>
      <c r="S33" s="23"/>
      <c r="T33" s="23"/>
      <c r="U33" s="23"/>
      <c r="V33" s="33"/>
      <c r="W33" s="33"/>
      <c r="X33" s="33"/>
      <c r="Y33" s="23"/>
    </row>
    <row r="34" spans="1:46" ht="13" x14ac:dyDescent="0.3">
      <c r="A34" s="31"/>
      <c r="E34" s="6" t="s">
        <v>386</v>
      </c>
      <c r="F34" s="6"/>
      <c r="G34" s="6"/>
      <c r="H34" s="6"/>
      <c r="I34" s="6"/>
      <c r="J34" s="6"/>
      <c r="K34" s="6"/>
      <c r="L34" s="6"/>
      <c r="M34" s="6"/>
      <c r="N34" s="36"/>
      <c r="O34" s="6"/>
      <c r="P34" s="6"/>
      <c r="V34" s="33"/>
      <c r="W34" s="33"/>
      <c r="X34" s="33"/>
    </row>
    <row r="35" spans="1:46" ht="13" x14ac:dyDescent="0.3">
      <c r="E35" s="29" t="s">
        <v>329</v>
      </c>
      <c r="F35" s="29"/>
      <c r="G35" s="29"/>
      <c r="H35" s="29"/>
      <c r="I35" s="29"/>
      <c r="J35" s="29"/>
      <c r="K35" s="6"/>
      <c r="L35" s="6"/>
      <c r="M35" s="6"/>
      <c r="N35" s="36"/>
      <c r="O35" s="6"/>
      <c r="P35" s="37"/>
      <c r="S35" s="38"/>
    </row>
    <row r="36" spans="1:46" ht="13" x14ac:dyDescent="0.3">
      <c r="A36" s="31"/>
      <c r="E36" s="6" t="s">
        <v>387</v>
      </c>
      <c r="F36" s="6"/>
      <c r="G36" s="6"/>
      <c r="H36" s="6"/>
      <c r="I36" s="6"/>
      <c r="J36" s="39"/>
      <c r="K36" s="39"/>
      <c r="L36" s="6"/>
      <c r="N36" s="39"/>
      <c r="O36" s="6"/>
      <c r="P36" s="6"/>
    </row>
    <row r="37" spans="1:46" ht="13" x14ac:dyDescent="0.3">
      <c r="A37" s="31"/>
      <c r="E37" s="29" t="s">
        <v>17</v>
      </c>
      <c r="F37" s="29"/>
      <c r="G37" s="29"/>
      <c r="H37" s="29"/>
      <c r="I37" s="29"/>
      <c r="J37" s="40"/>
      <c r="K37" s="6"/>
      <c r="L37" s="6"/>
      <c r="M37" s="12"/>
      <c r="N37" s="6"/>
      <c r="O37" s="6"/>
      <c r="P37" s="6"/>
      <c r="Q37" s="36"/>
      <c r="R37" s="6"/>
    </row>
    <row r="38" spans="1:46" x14ac:dyDescent="0.25">
      <c r="A38" s="31"/>
      <c r="E38" s="6" t="s">
        <v>18</v>
      </c>
      <c r="F38" s="6"/>
      <c r="G38" s="6"/>
      <c r="H38" s="6"/>
      <c r="I38" s="6"/>
      <c r="J38" s="41"/>
      <c r="K38" s="6"/>
      <c r="L38" s="6"/>
      <c r="M38" s="12"/>
      <c r="N38" s="6"/>
      <c r="O38" s="6"/>
      <c r="P38" s="6"/>
      <c r="Q38" s="36"/>
      <c r="R38" s="6"/>
    </row>
    <row r="39" spans="1:46" ht="13" x14ac:dyDescent="0.3">
      <c r="A39" s="31"/>
      <c r="D39" s="23"/>
      <c r="E39" s="29" t="s">
        <v>330</v>
      </c>
      <c r="F39" s="29"/>
      <c r="G39" s="29"/>
      <c r="H39" s="29"/>
      <c r="I39" s="29"/>
      <c r="J39" s="40"/>
      <c r="K39" s="29"/>
      <c r="L39" s="29"/>
      <c r="M39" s="42"/>
      <c r="N39" s="29"/>
      <c r="O39" s="29"/>
      <c r="P39" s="29"/>
      <c r="Q39" s="23"/>
      <c r="R39" s="23"/>
      <c r="S39" s="23"/>
      <c r="T39" s="23"/>
      <c r="U39" s="23"/>
      <c r="V39" s="23"/>
      <c r="W39" s="23"/>
    </row>
    <row r="40" spans="1:46" ht="13" x14ac:dyDescent="0.3">
      <c r="A40" s="31"/>
      <c r="D40" s="23"/>
      <c r="E40" s="29" t="s">
        <v>583</v>
      </c>
      <c r="F40" s="23"/>
      <c r="G40" s="23"/>
      <c r="H40" s="23"/>
      <c r="I40" s="29"/>
      <c r="J40" s="40"/>
      <c r="K40" s="29"/>
      <c r="L40" s="23"/>
      <c r="M40" s="23"/>
      <c r="N40" s="23"/>
      <c r="O40" s="29"/>
      <c r="P40" s="29"/>
      <c r="Q40" s="23"/>
      <c r="R40" s="23"/>
      <c r="S40" s="23"/>
      <c r="T40" s="23"/>
      <c r="U40" s="23"/>
      <c r="V40" s="23"/>
      <c r="W40" s="23"/>
    </row>
    <row r="41" spans="1:46" ht="13" x14ac:dyDescent="0.3">
      <c r="A41" s="31"/>
      <c r="D41" s="44"/>
      <c r="E41" s="29" t="s">
        <v>298</v>
      </c>
      <c r="F41" s="43"/>
      <c r="G41" s="44"/>
      <c r="H41" s="43"/>
      <c r="I41" s="43"/>
      <c r="J41" s="32"/>
      <c r="K41" s="32"/>
      <c r="L41" s="23"/>
      <c r="M41" s="23"/>
      <c r="N41" s="23"/>
      <c r="O41" s="29"/>
      <c r="P41" s="29"/>
      <c r="Q41" s="23"/>
      <c r="R41" s="23"/>
      <c r="S41" s="23"/>
      <c r="T41" s="23"/>
      <c r="U41" s="23"/>
      <c r="V41" s="23"/>
      <c r="W41" s="23"/>
    </row>
    <row r="42" spans="1:46" ht="14" x14ac:dyDescent="0.3">
      <c r="A42" s="31"/>
      <c r="D42" s="23"/>
      <c r="E42" s="29" t="s">
        <v>388</v>
      </c>
      <c r="F42" s="23"/>
      <c r="G42" s="23"/>
      <c r="H42" s="23"/>
      <c r="I42" s="29"/>
      <c r="J42" s="42"/>
      <c r="K42" s="29"/>
      <c r="L42" s="27"/>
      <c r="M42" s="45"/>
      <c r="N42" s="45"/>
      <c r="O42" s="27"/>
      <c r="P42" s="29"/>
      <c r="Q42" s="23"/>
      <c r="R42" s="23"/>
      <c r="S42" s="23"/>
      <c r="T42" s="23"/>
      <c r="U42" s="23"/>
      <c r="V42" s="23"/>
      <c r="W42" s="23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</row>
    <row r="43" spans="1:46" ht="13" x14ac:dyDescent="0.3">
      <c r="A43" s="31"/>
      <c r="D43" s="23"/>
      <c r="E43" s="29" t="s">
        <v>389</v>
      </c>
      <c r="F43" s="23"/>
      <c r="G43" s="23"/>
      <c r="H43" s="23"/>
      <c r="I43" s="29"/>
      <c r="J43" s="40"/>
      <c r="K43" s="40"/>
      <c r="L43" s="29"/>
      <c r="M43" s="23"/>
      <c r="N43" s="40"/>
      <c r="O43" s="29"/>
      <c r="P43" s="29"/>
      <c r="Q43" s="23"/>
      <c r="R43" s="23"/>
      <c r="S43" s="23"/>
      <c r="T43" s="23"/>
      <c r="U43" s="23"/>
      <c r="V43" s="23"/>
      <c r="W43" s="23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</row>
    <row r="44" spans="1:46" ht="15.5" x14ac:dyDescent="0.35">
      <c r="A44" s="31"/>
      <c r="B44" s="1537" t="s">
        <v>268</v>
      </c>
      <c r="C44" s="47" t="s">
        <v>584</v>
      </c>
      <c r="D44" s="23"/>
      <c r="F44" s="30"/>
      <c r="G44" s="30"/>
      <c r="H44" s="30"/>
      <c r="I44" s="29"/>
      <c r="J44" s="29"/>
      <c r="K44" s="30"/>
      <c r="L44" s="29"/>
      <c r="M44" s="30"/>
      <c r="N44" s="29"/>
      <c r="O44" s="29"/>
      <c r="P44" s="29"/>
      <c r="Q44" s="30"/>
      <c r="R44" s="30"/>
      <c r="S44" s="30"/>
      <c r="T44" s="30"/>
      <c r="U44" s="30"/>
      <c r="V44" s="30"/>
      <c r="W44" s="30"/>
      <c r="X44" s="48"/>
      <c r="Y44" s="49"/>
      <c r="Z44" s="49"/>
      <c r="AA44" s="49"/>
      <c r="AB44" s="50"/>
      <c r="AC44" s="49"/>
      <c r="AD44" s="49"/>
      <c r="AE44" s="49"/>
      <c r="AF44" s="49"/>
      <c r="AG44" s="49"/>
      <c r="AH44" s="49"/>
      <c r="AI44" s="49"/>
      <c r="AJ44" s="46"/>
      <c r="AK44" s="46"/>
      <c r="AL44" s="46"/>
      <c r="AM44" s="46"/>
      <c r="AN44" s="46"/>
      <c r="AO44" s="46"/>
      <c r="AP44" s="46"/>
      <c r="AQ44" s="46"/>
      <c r="AR44" s="46"/>
      <c r="AS44" s="46"/>
    </row>
    <row r="45" spans="1:46" ht="18.5" thickBot="1" x14ac:dyDescent="0.45">
      <c r="B45" s="6" t="s">
        <v>19</v>
      </c>
      <c r="I45" s="6"/>
      <c r="J45" s="39"/>
      <c r="K45" s="6"/>
      <c r="L45" s="6"/>
      <c r="M45" s="6"/>
      <c r="N45" s="51"/>
      <c r="O45" s="6"/>
      <c r="P45" s="6"/>
      <c r="W45" s="52"/>
      <c r="X45" s="23"/>
      <c r="Y45" s="23"/>
      <c r="Z45" s="53"/>
      <c r="AA45" s="863"/>
      <c r="AB45" s="839"/>
      <c r="AC45" s="838"/>
      <c r="AD45" s="838"/>
      <c r="AE45" s="838"/>
      <c r="AF45" s="838"/>
      <c r="AG45" s="838"/>
      <c r="AH45" s="838"/>
      <c r="AI45" s="838"/>
      <c r="AJ45" s="838"/>
      <c r="AK45" s="838"/>
      <c r="AL45" s="838"/>
      <c r="AM45" s="838"/>
      <c r="AN45" s="838"/>
      <c r="AO45" s="838"/>
      <c r="AP45" s="838"/>
      <c r="AQ45" s="838"/>
      <c r="AR45" s="838"/>
      <c r="AS45" s="838"/>
      <c r="AT45" s="838"/>
    </row>
    <row r="46" spans="1:46" ht="13" x14ac:dyDescent="0.3">
      <c r="A46" s="54" t="s">
        <v>14</v>
      </c>
      <c r="B46" s="21" t="s">
        <v>299</v>
      </c>
      <c r="C46" s="10"/>
      <c r="D46" s="10"/>
      <c r="E46" s="27" t="s">
        <v>15</v>
      </c>
      <c r="F46" s="25"/>
      <c r="G46" s="25"/>
      <c r="H46" s="27" t="s">
        <v>569</v>
      </c>
      <c r="I46" s="27"/>
      <c r="J46" s="43"/>
      <c r="K46" s="55" t="s">
        <v>21</v>
      </c>
      <c r="L46" s="56"/>
      <c r="M46" s="56"/>
      <c r="N46" s="56"/>
      <c r="O46" s="56"/>
      <c r="P46" s="57"/>
      <c r="Q46" s="58"/>
      <c r="R46" s="58"/>
      <c r="S46" s="58"/>
      <c r="T46" s="58"/>
      <c r="U46" s="58"/>
      <c r="V46" s="1379"/>
      <c r="W46" s="90" t="s">
        <v>571</v>
      </c>
      <c r="X46" s="1362"/>
      <c r="Y46" s="62" t="s">
        <v>22</v>
      </c>
      <c r="Z46" s="1097"/>
      <c r="AA46" s="838"/>
      <c r="AB46" s="838"/>
      <c r="AC46" s="838"/>
      <c r="AD46" s="838"/>
      <c r="AE46" s="838"/>
      <c r="AF46" s="838"/>
      <c r="AG46" s="838"/>
      <c r="AH46" s="838"/>
      <c r="AI46" s="838"/>
      <c r="AJ46" s="838"/>
      <c r="AK46" s="838"/>
      <c r="AL46" s="838"/>
      <c r="AM46" s="838"/>
      <c r="AN46" s="838"/>
      <c r="AO46" s="838"/>
      <c r="AP46" s="838"/>
      <c r="AQ46" s="838"/>
      <c r="AR46" s="838"/>
      <c r="AS46" s="838"/>
      <c r="AT46" s="838"/>
    </row>
    <row r="47" spans="1:46" ht="13.5" thickBot="1" x14ac:dyDescent="0.35">
      <c r="A47" s="1530" t="s">
        <v>376</v>
      </c>
      <c r="B47" s="1529" t="s">
        <v>565</v>
      </c>
      <c r="C47" s="838"/>
      <c r="D47" s="593"/>
      <c r="E47" s="29" t="s">
        <v>573</v>
      </c>
      <c r="F47" s="30"/>
      <c r="G47" s="30"/>
      <c r="H47" s="30"/>
      <c r="I47" s="29"/>
      <c r="J47" s="29"/>
      <c r="K47" s="67" t="s">
        <v>23</v>
      </c>
      <c r="L47" s="68"/>
      <c r="M47" s="68"/>
      <c r="N47" s="68"/>
      <c r="O47" s="68"/>
      <c r="P47" s="68"/>
      <c r="Q47" s="69"/>
      <c r="R47" s="69"/>
      <c r="S47" s="69"/>
      <c r="T47" s="69"/>
      <c r="U47" s="69"/>
      <c r="V47" s="1524" t="s">
        <v>407</v>
      </c>
      <c r="W47" s="1525" t="s">
        <v>572</v>
      </c>
      <c r="X47" s="1428"/>
      <c r="Y47" s="892"/>
      <c r="Z47" s="88"/>
      <c r="AA47" s="838"/>
      <c r="AB47" s="838"/>
      <c r="AC47" s="838"/>
      <c r="AD47" s="838"/>
      <c r="AE47" s="29"/>
      <c r="AF47" s="29"/>
      <c r="AG47" s="838"/>
      <c r="AH47" s="838"/>
      <c r="AI47" s="838"/>
      <c r="AJ47" s="838"/>
      <c r="AK47" s="838"/>
      <c r="AL47" s="838"/>
      <c r="AM47" s="838"/>
      <c r="AN47" s="838"/>
      <c r="AO47" s="838"/>
      <c r="AP47" s="838"/>
      <c r="AQ47" s="838"/>
      <c r="AR47" s="838"/>
      <c r="AS47" s="838"/>
      <c r="AT47" s="838"/>
    </row>
    <row r="48" spans="1:46" ht="13" x14ac:dyDescent="0.3">
      <c r="A48" s="1530" t="s">
        <v>567</v>
      </c>
      <c r="B48" s="1529" t="s">
        <v>566</v>
      </c>
      <c r="C48" s="23"/>
      <c r="D48" s="23"/>
      <c r="E48" s="29" t="s">
        <v>324</v>
      </c>
      <c r="F48" s="29"/>
      <c r="G48" s="29"/>
      <c r="H48" s="29"/>
      <c r="I48" s="29"/>
      <c r="J48" s="29"/>
      <c r="K48" s="29"/>
      <c r="L48" s="29"/>
      <c r="M48" s="29"/>
      <c r="N48" s="32"/>
      <c r="O48" s="29"/>
      <c r="P48" s="29"/>
      <c r="Q48" s="30"/>
      <c r="R48" s="30"/>
      <c r="S48" s="30"/>
      <c r="T48" s="30"/>
      <c r="U48" s="30"/>
      <c r="V48" s="30"/>
      <c r="W48" s="30"/>
      <c r="X48" s="30"/>
      <c r="Y48" s="30"/>
      <c r="Z48" s="882"/>
      <c r="AA48" s="838"/>
      <c r="AB48" s="838"/>
      <c r="AC48" s="838"/>
      <c r="AD48" s="838"/>
      <c r="AE48" s="838"/>
      <c r="AF48" s="838"/>
      <c r="AG48" s="43"/>
      <c r="AH48" s="893"/>
      <c r="AI48" s="893"/>
      <c r="AJ48" s="893"/>
      <c r="AK48" s="43"/>
      <c r="AL48" s="43"/>
      <c r="AM48" s="43"/>
      <c r="AN48" s="838"/>
      <c r="AO48" s="838"/>
      <c r="AP48" s="838"/>
      <c r="AQ48" s="838"/>
      <c r="AR48" s="838"/>
      <c r="AS48" s="838"/>
      <c r="AT48" s="838"/>
    </row>
    <row r="49" spans="1:46" ht="13" x14ac:dyDescent="0.3">
      <c r="A49" s="1531" t="s">
        <v>269</v>
      </c>
      <c r="B49" s="839"/>
      <c r="C49" s="23"/>
      <c r="D49" s="23"/>
      <c r="E49" s="29" t="s">
        <v>272</v>
      </c>
      <c r="F49" s="29"/>
      <c r="G49" s="29"/>
      <c r="H49" s="29"/>
      <c r="I49" s="29"/>
      <c r="J49" s="29"/>
      <c r="K49" s="29"/>
      <c r="L49" s="29"/>
      <c r="M49" s="29"/>
      <c r="N49" s="32"/>
      <c r="O49" s="29"/>
      <c r="P49" s="29"/>
      <c r="Q49" s="23"/>
      <c r="R49" s="23"/>
      <c r="S49" s="23"/>
      <c r="T49" s="23"/>
      <c r="U49" s="23"/>
      <c r="V49" s="23"/>
      <c r="W49" s="23"/>
      <c r="X49" s="23"/>
      <c r="Y49" s="23"/>
      <c r="Z49" s="838"/>
      <c r="AA49" s="838"/>
      <c r="AB49" s="838"/>
      <c r="AC49" s="838"/>
      <c r="AD49" s="838"/>
      <c r="AE49" s="838"/>
      <c r="AF49" s="838"/>
      <c r="AG49" s="29"/>
      <c r="AH49" s="882"/>
      <c r="AI49" s="882"/>
      <c r="AJ49" s="882"/>
      <c r="AK49" s="29"/>
      <c r="AL49" s="29"/>
      <c r="AM49" s="882"/>
      <c r="AN49" s="838"/>
      <c r="AO49" s="838"/>
      <c r="AP49" s="838"/>
      <c r="AQ49" s="838"/>
      <c r="AR49" s="838"/>
      <c r="AS49" s="838"/>
      <c r="AT49" s="838"/>
    </row>
    <row r="50" spans="1:46" x14ac:dyDescent="0.25">
      <c r="A50" s="1532"/>
      <c r="B50" s="23"/>
      <c r="C50" s="23"/>
      <c r="D50" s="23"/>
      <c r="E50" s="29" t="s">
        <v>319</v>
      </c>
      <c r="F50" s="29"/>
      <c r="G50" s="29"/>
      <c r="H50" s="29"/>
      <c r="I50" s="29"/>
      <c r="J50" s="29"/>
      <c r="K50" s="29"/>
      <c r="L50" s="29" t="s">
        <v>24</v>
      </c>
      <c r="M50" s="29"/>
      <c r="N50" s="32"/>
      <c r="O50" s="29"/>
      <c r="P50" s="29"/>
      <c r="Q50" s="23"/>
      <c r="R50" s="23"/>
      <c r="S50" s="23"/>
      <c r="T50" s="23"/>
      <c r="U50" s="23"/>
      <c r="V50" s="23"/>
      <c r="W50" s="23"/>
      <c r="X50" s="23"/>
      <c r="Y50" s="23"/>
      <c r="Z50" s="838"/>
      <c r="AA50" s="838"/>
      <c r="AB50" s="838"/>
      <c r="AC50" s="838"/>
      <c r="AD50" s="838"/>
      <c r="AE50" s="838"/>
      <c r="AF50" s="838"/>
      <c r="AG50" s="29"/>
      <c r="AH50" s="893"/>
      <c r="AI50" s="893"/>
      <c r="AJ50" s="893"/>
      <c r="AK50" s="43"/>
      <c r="AL50" s="43"/>
      <c r="AM50" s="43"/>
      <c r="AN50" s="838"/>
      <c r="AO50" s="838"/>
      <c r="AP50" s="838"/>
      <c r="AQ50" s="838"/>
      <c r="AR50" s="838"/>
      <c r="AS50" s="838"/>
      <c r="AT50" s="838"/>
    </row>
    <row r="51" spans="1:46" ht="13" x14ac:dyDescent="0.3">
      <c r="A51" s="1532"/>
      <c r="B51" s="23"/>
      <c r="C51" s="23"/>
      <c r="D51" s="23"/>
      <c r="E51" s="1536" t="s">
        <v>25</v>
      </c>
      <c r="F51" s="1536"/>
      <c r="G51" s="1536"/>
      <c r="H51" s="1536"/>
      <c r="I51" s="77"/>
      <c r="J51" s="29"/>
      <c r="K51" s="29"/>
      <c r="L51" s="29"/>
      <c r="M51" s="29"/>
      <c r="N51" s="32"/>
      <c r="O51" s="29"/>
      <c r="P51" s="29"/>
      <c r="Q51" s="23"/>
      <c r="R51" s="23"/>
      <c r="S51" s="23"/>
      <c r="T51" s="23"/>
      <c r="U51" s="23"/>
      <c r="V51" s="23"/>
      <c r="W51" s="23"/>
      <c r="X51" s="23"/>
      <c r="Y51" s="23"/>
      <c r="Z51" s="838"/>
      <c r="AA51" s="838"/>
      <c r="AB51" s="838"/>
      <c r="AC51" s="838"/>
      <c r="AD51" s="838"/>
      <c r="AE51" s="838"/>
      <c r="AF51" s="838"/>
      <c r="AG51" s="29"/>
      <c r="AH51" s="43"/>
      <c r="AI51" s="43"/>
      <c r="AJ51" s="43"/>
      <c r="AK51" s="43"/>
      <c r="AL51" s="43"/>
      <c r="AM51" s="43"/>
      <c r="AN51" s="838"/>
      <c r="AO51" s="838"/>
      <c r="AP51" s="838"/>
      <c r="AQ51" s="838"/>
      <c r="AR51" s="838"/>
      <c r="AS51" s="838"/>
      <c r="AT51" s="838"/>
    </row>
    <row r="52" spans="1:46" ht="13" x14ac:dyDescent="0.3">
      <c r="A52" s="1535" t="s">
        <v>594</v>
      </c>
      <c r="B52" s="1535"/>
      <c r="C52" s="1534"/>
      <c r="D52" s="23"/>
      <c r="E52" s="1536" t="s">
        <v>270</v>
      </c>
      <c r="F52" s="1536"/>
      <c r="G52" s="1536"/>
      <c r="H52" s="1536"/>
      <c r="I52" s="77"/>
      <c r="J52" s="29"/>
      <c r="K52" s="29"/>
      <c r="L52" s="29"/>
      <c r="M52" s="29"/>
      <c r="N52" s="32"/>
      <c r="O52" s="29"/>
      <c r="P52" s="29"/>
      <c r="Q52" s="23"/>
      <c r="R52" s="23"/>
      <c r="S52" s="23"/>
      <c r="T52" s="23"/>
      <c r="U52" s="23"/>
      <c r="V52" s="23"/>
      <c r="W52" s="23"/>
      <c r="X52" s="23"/>
      <c r="Y52" s="23"/>
      <c r="Z52" s="838"/>
      <c r="AA52" s="838"/>
      <c r="AB52" s="838"/>
      <c r="AC52" s="838"/>
      <c r="AD52" s="838"/>
      <c r="AE52" s="838"/>
      <c r="AF52" s="838"/>
      <c r="AG52" s="29"/>
      <c r="AH52" s="43"/>
      <c r="AI52" s="43"/>
      <c r="AJ52" s="43"/>
      <c r="AK52" s="43"/>
      <c r="AL52" s="43"/>
      <c r="AM52" s="43"/>
      <c r="AN52" s="838"/>
      <c r="AO52" s="838"/>
      <c r="AP52" s="838"/>
      <c r="AQ52" s="838"/>
      <c r="AR52" s="838"/>
      <c r="AS52" s="838"/>
      <c r="AT52" s="838"/>
    </row>
    <row r="53" spans="1:46" ht="13" x14ac:dyDescent="0.3">
      <c r="A53" s="1535" t="s">
        <v>26</v>
      </c>
      <c r="B53" s="23"/>
      <c r="C53" s="23"/>
      <c r="D53" s="30"/>
      <c r="E53" s="29" t="s">
        <v>271</v>
      </c>
      <c r="F53" s="29"/>
      <c r="G53" s="29"/>
      <c r="H53" s="29"/>
      <c r="I53" s="29"/>
      <c r="J53" s="29"/>
      <c r="K53" s="29"/>
      <c r="L53" s="29"/>
      <c r="M53" s="29"/>
      <c r="N53" s="32"/>
      <c r="O53" s="29"/>
      <c r="P53" s="29"/>
      <c r="Q53" s="23"/>
      <c r="R53" s="23"/>
      <c r="S53" s="23"/>
      <c r="T53" s="23"/>
      <c r="U53" s="23"/>
      <c r="V53" s="23"/>
      <c r="W53" s="23"/>
      <c r="X53" s="23"/>
      <c r="Y53" s="23"/>
      <c r="Z53" s="838"/>
      <c r="AA53" s="838"/>
      <c r="AB53" s="838"/>
      <c r="AC53" s="838"/>
      <c r="AD53" s="838"/>
      <c r="AE53" s="838"/>
      <c r="AF53" s="838"/>
      <c r="AG53" s="29"/>
      <c r="AH53" s="29"/>
      <c r="AI53" s="29"/>
      <c r="AJ53" s="29"/>
      <c r="AK53" s="29"/>
      <c r="AL53" s="863"/>
      <c r="AM53" s="29"/>
      <c r="AN53" s="838"/>
      <c r="AO53" s="838"/>
      <c r="AP53" s="838"/>
      <c r="AQ53" s="838"/>
      <c r="AR53" s="838"/>
      <c r="AS53" s="838"/>
      <c r="AT53" s="838"/>
    </row>
    <row r="54" spans="1:46" x14ac:dyDescent="0.25">
      <c r="A54" s="1532"/>
      <c r="B54" s="23"/>
      <c r="C54" s="23"/>
      <c r="D54" s="30"/>
      <c r="E54" s="29" t="s">
        <v>322</v>
      </c>
      <c r="F54" s="30"/>
      <c r="G54" s="30"/>
      <c r="H54" s="30"/>
      <c r="I54" s="29"/>
      <c r="J54" s="29"/>
      <c r="K54" s="29"/>
      <c r="L54" s="29"/>
      <c r="M54" s="29"/>
      <c r="N54" s="32"/>
      <c r="O54" s="29"/>
      <c r="P54" s="29"/>
      <c r="Q54" s="23"/>
      <c r="R54" s="23"/>
      <c r="S54" s="23"/>
      <c r="T54" s="23"/>
      <c r="U54" s="23"/>
      <c r="V54" s="23"/>
      <c r="W54" s="23"/>
      <c r="X54" s="23"/>
      <c r="Y54" s="23"/>
      <c r="Z54" s="838"/>
      <c r="AA54" s="838"/>
      <c r="AB54" s="838"/>
      <c r="AC54" s="838"/>
      <c r="AD54" s="838"/>
      <c r="AE54" s="838"/>
      <c r="AF54" s="838"/>
      <c r="AG54" s="29"/>
      <c r="AH54" s="29"/>
      <c r="AI54" s="29"/>
      <c r="AJ54" s="29"/>
      <c r="AK54" s="29"/>
      <c r="AL54" s="863"/>
      <c r="AM54" s="29"/>
      <c r="AN54" s="838"/>
      <c r="AO54" s="838"/>
      <c r="AP54" s="838"/>
      <c r="AQ54" s="838"/>
      <c r="AR54" s="838"/>
      <c r="AS54" s="838"/>
      <c r="AT54" s="838"/>
    </row>
    <row r="55" spans="1:46" x14ac:dyDescent="0.25">
      <c r="A55" s="1533"/>
      <c r="B55" s="23"/>
      <c r="C55" s="23"/>
      <c r="D55" s="30"/>
      <c r="E55" s="29" t="s">
        <v>331</v>
      </c>
      <c r="F55" s="30"/>
      <c r="G55" s="30"/>
      <c r="H55" s="30"/>
      <c r="I55" s="29"/>
      <c r="J55" s="29"/>
      <c r="K55" s="29"/>
      <c r="L55" s="29"/>
      <c r="M55" s="29"/>
      <c r="N55" s="32"/>
      <c r="O55" s="29"/>
      <c r="P55" s="29"/>
      <c r="Q55" s="23"/>
      <c r="R55" s="23"/>
      <c r="S55" s="23"/>
      <c r="T55" s="23"/>
      <c r="U55" s="23"/>
      <c r="V55" s="23"/>
      <c r="W55" s="23"/>
      <c r="X55" s="23"/>
      <c r="Y55" s="23"/>
      <c r="Z55" s="838"/>
      <c r="AA55" s="838"/>
      <c r="AB55" s="838"/>
      <c r="AC55" s="838"/>
      <c r="AD55" s="838"/>
      <c r="AE55" s="838"/>
      <c r="AF55" s="838"/>
      <c r="AG55" s="43"/>
      <c r="AH55" s="43"/>
      <c r="AI55" s="43"/>
      <c r="AJ55" s="29"/>
      <c r="AK55" s="29"/>
      <c r="AL55" s="29"/>
      <c r="AM55" s="29"/>
      <c r="AN55" s="838"/>
      <c r="AO55" s="838"/>
      <c r="AP55" s="838"/>
      <c r="AQ55" s="838"/>
      <c r="AR55" s="838"/>
      <c r="AS55" s="838"/>
      <c r="AT55" s="838"/>
    </row>
    <row r="56" spans="1:46" ht="13.5" thickBot="1" x14ac:dyDescent="0.35">
      <c r="A56" s="1535" t="s">
        <v>590</v>
      </c>
      <c r="B56" s="1534"/>
      <c r="C56" s="23"/>
      <c r="D56" s="23"/>
      <c r="E56" s="29" t="s">
        <v>320</v>
      </c>
      <c r="F56" s="29"/>
      <c r="G56" s="29"/>
      <c r="H56" s="29"/>
      <c r="I56" s="29"/>
      <c r="K56" s="29" t="s">
        <v>27</v>
      </c>
      <c r="L56" s="29"/>
      <c r="M56" s="29"/>
      <c r="N56" s="29"/>
      <c r="O56" s="29"/>
      <c r="P56" s="32"/>
      <c r="Q56" s="29"/>
      <c r="R56" s="75"/>
      <c r="S56" s="23"/>
      <c r="T56" s="23"/>
      <c r="U56" s="23"/>
      <c r="W56" s="23"/>
      <c r="X56" s="23"/>
      <c r="Y56" s="23"/>
      <c r="Z56" s="838"/>
      <c r="AA56" s="838"/>
      <c r="AB56" s="838"/>
      <c r="AC56" s="838"/>
      <c r="AD56" s="838"/>
      <c r="AE56" s="838"/>
      <c r="AF56" s="838"/>
      <c r="AG56" s="29"/>
      <c r="AH56" s="838"/>
      <c r="AI56" s="838"/>
      <c r="AJ56" s="29"/>
      <c r="AK56" s="29"/>
      <c r="AL56" s="863"/>
      <c r="AM56" s="29"/>
      <c r="AN56" s="838"/>
      <c r="AO56" s="838"/>
      <c r="AP56" s="838"/>
      <c r="AQ56" s="838"/>
      <c r="AR56" s="838"/>
      <c r="AS56" s="838"/>
      <c r="AT56" s="838"/>
    </row>
    <row r="57" spans="1:46" ht="16" thickBot="1" x14ac:dyDescent="0.4">
      <c r="B57" s="1537" t="s">
        <v>591</v>
      </c>
      <c r="C57" s="866" t="s">
        <v>592</v>
      </c>
      <c r="D57" s="882"/>
      <c r="E57" s="882"/>
      <c r="F57" s="882"/>
      <c r="G57" s="882"/>
      <c r="H57" s="893"/>
      <c r="I57" s="43"/>
      <c r="J57" s="43"/>
      <c r="K57" s="29"/>
      <c r="L57" s="29"/>
      <c r="M57" s="29"/>
      <c r="N57" s="32"/>
      <c r="O57" s="75"/>
      <c r="P57" s="29"/>
      <c r="Q57" s="838"/>
      <c r="R57" s="867"/>
      <c r="S57" s="1538"/>
      <c r="T57" s="58"/>
      <c r="U57" s="58"/>
      <c r="V57" s="58"/>
      <c r="W57" s="58"/>
      <c r="X57" s="58"/>
      <c r="Y57" s="83"/>
      <c r="Z57" s="35"/>
      <c r="AA57" s="838"/>
      <c r="AB57" s="838"/>
      <c r="AC57" s="838"/>
      <c r="AD57" s="838"/>
      <c r="AE57" s="838"/>
      <c r="AF57" s="838"/>
      <c r="AG57" s="29"/>
      <c r="AH57" s="29"/>
      <c r="AI57" s="863"/>
      <c r="AJ57" s="29"/>
      <c r="AK57" s="29"/>
      <c r="AL57" s="32"/>
      <c r="AM57" s="32"/>
      <c r="AN57" s="838"/>
      <c r="AO57" s="838"/>
      <c r="AP57" s="838"/>
      <c r="AQ57" s="838"/>
      <c r="AR57" s="838"/>
      <c r="AS57" s="838"/>
      <c r="AT57" s="838"/>
    </row>
    <row r="58" spans="1:46" ht="16" thickBot="1" x14ac:dyDescent="0.4">
      <c r="C58" s="14"/>
      <c r="D58" s="14"/>
      <c r="E58" s="76"/>
      <c r="F58" s="84"/>
      <c r="G58" s="84"/>
      <c r="H58" s="84"/>
      <c r="I58" s="77"/>
      <c r="J58" s="6"/>
      <c r="K58" s="6"/>
      <c r="L58" s="6"/>
      <c r="M58" s="6"/>
      <c r="N58" s="36"/>
      <c r="O58" s="37"/>
      <c r="P58" s="6"/>
      <c r="Q58" s="14"/>
      <c r="R58" s="85"/>
      <c r="S58" s="86"/>
      <c r="T58" s="87"/>
      <c r="U58" s="87"/>
      <c r="V58" s="87"/>
      <c r="W58" s="87"/>
      <c r="X58" s="87"/>
      <c r="Y58" s="14"/>
      <c r="Z58" s="882"/>
      <c r="AA58" s="838"/>
      <c r="AB58" s="838"/>
      <c r="AC58" s="838"/>
      <c r="AD58" s="838"/>
      <c r="AE58" s="838"/>
      <c r="AF58" s="838"/>
      <c r="AG58" s="29"/>
      <c r="AH58" s="29"/>
      <c r="AI58" s="863"/>
      <c r="AJ58" s="29"/>
      <c r="AK58" s="29"/>
      <c r="AL58" s="32"/>
      <c r="AM58" s="32"/>
      <c r="AN58" s="838"/>
      <c r="AO58" s="838"/>
      <c r="AP58" s="838"/>
      <c r="AQ58" s="838"/>
      <c r="AR58" s="838"/>
      <c r="AS58" s="838"/>
      <c r="AT58" s="838"/>
    </row>
    <row r="59" spans="1:46" ht="13" x14ac:dyDescent="0.3">
      <c r="A59" s="54" t="s">
        <v>14</v>
      </c>
      <c r="B59" s="21" t="s">
        <v>300</v>
      </c>
      <c r="C59" s="10"/>
      <c r="D59" s="10"/>
      <c r="E59" s="27" t="s">
        <v>15</v>
      </c>
      <c r="F59" s="30"/>
      <c r="G59" s="30"/>
      <c r="H59" s="27" t="s">
        <v>28</v>
      </c>
      <c r="I59" s="29"/>
      <c r="J59" s="29"/>
      <c r="K59" s="55" t="s">
        <v>21</v>
      </c>
      <c r="L59" s="56"/>
      <c r="M59" s="56"/>
      <c r="N59" s="56"/>
      <c r="O59" s="56"/>
      <c r="P59" s="57"/>
      <c r="Q59" s="60"/>
      <c r="R59" s="60"/>
      <c r="S59" s="60"/>
      <c r="T59" s="60"/>
      <c r="U59" s="60"/>
      <c r="V59" s="89"/>
      <c r="W59" s="90" t="s">
        <v>29</v>
      </c>
      <c r="X59" s="1523"/>
      <c r="Y59" s="90"/>
      <c r="Z59" s="1403"/>
      <c r="AA59" s="838"/>
      <c r="AB59" s="838"/>
      <c r="AC59" s="838"/>
      <c r="AD59" s="838"/>
      <c r="AE59" s="838"/>
      <c r="AF59" s="838"/>
      <c r="AG59" s="29"/>
      <c r="AH59" s="29"/>
      <c r="AI59" s="863"/>
      <c r="AJ59" s="29"/>
      <c r="AK59" s="29"/>
      <c r="AL59" s="32"/>
      <c r="AM59" s="32"/>
      <c r="AN59" s="838"/>
      <c r="AO59" s="838"/>
      <c r="AP59" s="838"/>
      <c r="AQ59" s="838"/>
      <c r="AR59" s="838"/>
      <c r="AS59" s="838"/>
      <c r="AT59" s="838"/>
    </row>
    <row r="60" spans="1:46" ht="13.5" thickBot="1" x14ac:dyDescent="0.35">
      <c r="A60" s="1535" t="s">
        <v>578</v>
      </c>
      <c r="B60" s="1539" t="s">
        <v>565</v>
      </c>
      <c r="C60" s="838"/>
      <c r="D60" s="593"/>
      <c r="E60" s="29" t="s">
        <v>581</v>
      </c>
      <c r="F60" s="30"/>
      <c r="G60" s="30"/>
      <c r="H60" s="30"/>
      <c r="I60" s="29"/>
      <c r="J60" s="29"/>
      <c r="K60" s="67" t="s">
        <v>23</v>
      </c>
      <c r="L60" s="68"/>
      <c r="M60" s="68"/>
      <c r="N60" s="68"/>
      <c r="O60" s="68"/>
      <c r="P60" s="68"/>
      <c r="Q60" s="69"/>
      <c r="R60" s="69"/>
      <c r="S60" s="69"/>
      <c r="T60" s="69"/>
      <c r="U60" s="69"/>
      <c r="V60" s="1524" t="s">
        <v>408</v>
      </c>
      <c r="W60" s="1525" t="s">
        <v>580</v>
      </c>
      <c r="X60" s="1526"/>
      <c r="Y60" s="1428"/>
      <c r="Z60" s="1424"/>
      <c r="AA60" s="838"/>
      <c r="AB60" s="838"/>
      <c r="AC60" s="838"/>
      <c r="AD60" s="838"/>
      <c r="AE60" s="838"/>
      <c r="AF60" s="838"/>
      <c r="AG60" s="29"/>
      <c r="AH60" s="29"/>
      <c r="AI60" s="863"/>
      <c r="AJ60" s="29"/>
      <c r="AK60" s="29"/>
      <c r="AL60" s="32"/>
      <c r="AM60" s="32"/>
      <c r="AN60" s="838"/>
      <c r="AO60" s="838"/>
      <c r="AP60" s="838"/>
      <c r="AQ60" s="838"/>
      <c r="AR60" s="838"/>
      <c r="AS60" s="838"/>
      <c r="AT60" s="838"/>
    </row>
    <row r="61" spans="1:46" ht="13" x14ac:dyDescent="0.3">
      <c r="A61" s="1535" t="s">
        <v>568</v>
      </c>
      <c r="B61" s="1539" t="s">
        <v>566</v>
      </c>
      <c r="C61" s="23"/>
      <c r="D61" s="23"/>
      <c r="E61" s="29" t="s">
        <v>325</v>
      </c>
      <c r="F61" s="29"/>
      <c r="G61" s="29"/>
      <c r="H61" s="29"/>
      <c r="I61" s="29"/>
      <c r="J61" s="29"/>
      <c r="K61" s="29"/>
      <c r="L61" s="29"/>
      <c r="M61" s="29"/>
      <c r="N61" s="32"/>
      <c r="O61" s="29"/>
      <c r="P61" s="29"/>
      <c r="Q61" s="30"/>
      <c r="R61" s="30"/>
      <c r="S61" s="30"/>
      <c r="T61" s="30"/>
      <c r="U61" s="30"/>
      <c r="V61" s="30"/>
      <c r="W61" s="30"/>
      <c r="X61" s="30"/>
      <c r="Y61" s="14"/>
      <c r="Z61" s="882"/>
      <c r="AA61" s="838"/>
      <c r="AB61" s="838"/>
      <c r="AC61" s="838"/>
      <c r="AD61" s="838"/>
      <c r="AE61" s="838"/>
      <c r="AF61" s="838"/>
      <c r="AG61" s="29"/>
      <c r="AH61" s="29"/>
      <c r="AI61" s="863"/>
      <c r="AJ61" s="29"/>
      <c r="AK61" s="29"/>
      <c r="AL61" s="32"/>
      <c r="AM61" s="32"/>
      <c r="AN61" s="838"/>
      <c r="AO61" s="838"/>
      <c r="AP61" s="838"/>
      <c r="AQ61" s="838"/>
      <c r="AR61" s="838"/>
      <c r="AS61" s="838"/>
      <c r="AT61" s="838"/>
    </row>
    <row r="62" spans="1:46" x14ac:dyDescent="0.25">
      <c r="A62" s="1544"/>
      <c r="B62" s="893"/>
      <c r="C62" s="23"/>
      <c r="D62" s="23"/>
      <c r="E62" s="29" t="s">
        <v>30</v>
      </c>
      <c r="F62" s="29"/>
      <c r="G62" s="29"/>
      <c r="H62" s="29"/>
      <c r="I62" s="29"/>
      <c r="J62" s="29"/>
      <c r="K62" s="29"/>
      <c r="L62" s="29"/>
      <c r="M62" s="29"/>
      <c r="N62" s="32"/>
      <c r="O62" s="29"/>
      <c r="P62" s="29"/>
      <c r="Q62" s="30"/>
      <c r="R62" s="30"/>
      <c r="S62" s="30"/>
      <c r="T62" s="30"/>
      <c r="U62" s="30"/>
      <c r="V62" s="30"/>
      <c r="W62" s="30"/>
      <c r="X62" s="30"/>
      <c r="Y62" s="14"/>
      <c r="Z62" s="882"/>
      <c r="AA62" s="838"/>
      <c r="AB62" s="838"/>
      <c r="AC62" s="838"/>
      <c r="AD62" s="838"/>
      <c r="AE62" s="838"/>
      <c r="AF62" s="838"/>
      <c r="AG62" s="29"/>
      <c r="AH62" s="29"/>
      <c r="AI62" s="863"/>
      <c r="AJ62" s="29"/>
      <c r="AK62" s="29"/>
      <c r="AL62" s="32"/>
      <c r="AM62" s="32"/>
      <c r="AN62" s="838"/>
      <c r="AO62" s="838"/>
      <c r="AP62" s="838"/>
      <c r="AQ62" s="838"/>
      <c r="AR62" s="838"/>
      <c r="AS62" s="838"/>
      <c r="AT62" s="838"/>
    </row>
    <row r="63" spans="1:46" x14ac:dyDescent="0.25">
      <c r="A63" s="1544"/>
      <c r="B63" s="23"/>
      <c r="C63" s="23"/>
      <c r="D63" s="23"/>
      <c r="E63" s="29" t="s">
        <v>321</v>
      </c>
      <c r="F63" s="23"/>
      <c r="G63" s="23"/>
      <c r="H63" s="23"/>
      <c r="I63" s="29"/>
      <c r="J63" s="42"/>
      <c r="K63" s="29"/>
      <c r="L63" s="29"/>
      <c r="M63" s="29"/>
      <c r="N63" s="32"/>
      <c r="O63" s="29"/>
      <c r="P63" s="29"/>
      <c r="Q63" s="30"/>
      <c r="R63" s="30"/>
      <c r="S63" s="30"/>
      <c r="T63" s="30"/>
      <c r="U63" s="30"/>
      <c r="V63" s="30"/>
      <c r="W63" s="30"/>
      <c r="X63" s="30"/>
      <c r="Y63" s="14"/>
      <c r="Z63" s="882"/>
      <c r="AA63" s="838"/>
      <c r="AB63" s="838"/>
      <c r="AC63" s="838"/>
      <c r="AD63" s="838"/>
      <c r="AE63" s="838"/>
      <c r="AF63" s="838"/>
      <c r="AG63" s="29"/>
      <c r="AH63" s="29"/>
      <c r="AI63" s="863"/>
      <c r="AJ63" s="29"/>
      <c r="AK63" s="29"/>
      <c r="AL63" s="32"/>
      <c r="AM63" s="32"/>
      <c r="AN63" s="838"/>
      <c r="AO63" s="838"/>
      <c r="AP63" s="838"/>
      <c r="AQ63" s="838"/>
      <c r="AR63" s="838"/>
      <c r="AS63" s="838"/>
      <c r="AT63" s="838"/>
    </row>
    <row r="64" spans="1:46" x14ac:dyDescent="0.25">
      <c r="A64" s="1544"/>
      <c r="B64" s="23"/>
      <c r="C64" s="23"/>
      <c r="D64" s="23"/>
      <c r="E64" s="29" t="s">
        <v>31</v>
      </c>
      <c r="F64" s="29"/>
      <c r="G64" s="29"/>
      <c r="H64" s="29"/>
      <c r="I64" s="29"/>
      <c r="J64" s="29"/>
      <c r="K64" s="29"/>
      <c r="L64" s="29" t="s">
        <v>24</v>
      </c>
      <c r="M64" s="29"/>
      <c r="N64" s="32"/>
      <c r="O64" s="29"/>
      <c r="P64" s="29"/>
      <c r="Q64" s="30"/>
      <c r="R64" s="30"/>
      <c r="S64" s="30"/>
      <c r="T64" s="30"/>
      <c r="U64" s="30"/>
      <c r="V64" s="30"/>
      <c r="W64" s="30"/>
      <c r="X64" s="30"/>
      <c r="Y64" s="14"/>
      <c r="Z64" s="882"/>
      <c r="AA64" s="838"/>
      <c r="AB64" s="838"/>
      <c r="AC64" s="838"/>
      <c r="AD64" s="838"/>
      <c r="AE64" s="838"/>
      <c r="AF64" s="838"/>
      <c r="AG64" s="29"/>
      <c r="AH64" s="29"/>
      <c r="AI64" s="863"/>
      <c r="AJ64" s="29"/>
      <c r="AK64" s="29"/>
      <c r="AL64" s="32"/>
      <c r="AM64" s="32"/>
      <c r="AN64" s="838"/>
      <c r="AO64" s="838"/>
      <c r="AP64" s="838"/>
      <c r="AQ64" s="838"/>
      <c r="AR64" s="838"/>
      <c r="AS64" s="838"/>
      <c r="AT64" s="838"/>
    </row>
    <row r="65" spans="1:46" ht="13" x14ac:dyDescent="0.3">
      <c r="A65" s="1544"/>
      <c r="B65" s="23"/>
      <c r="C65" s="23"/>
      <c r="D65" s="23"/>
      <c r="E65" s="1540" t="s">
        <v>25</v>
      </c>
      <c r="F65" s="1540"/>
      <c r="G65" s="1540"/>
      <c r="H65" s="1540"/>
      <c r="I65" s="29"/>
      <c r="J65" s="29"/>
      <c r="K65" s="29"/>
      <c r="L65" s="29"/>
      <c r="M65" s="29"/>
      <c r="N65" s="32"/>
      <c r="O65" s="29"/>
      <c r="P65" s="29"/>
      <c r="Q65" s="30"/>
      <c r="R65" s="30"/>
      <c r="S65" s="30"/>
      <c r="T65" s="30"/>
      <c r="U65" s="30"/>
      <c r="V65" s="30"/>
      <c r="W65" s="30"/>
      <c r="X65" s="30"/>
      <c r="Y65" s="14"/>
      <c r="Z65" s="882"/>
      <c r="AA65" s="838"/>
      <c r="AB65" s="838"/>
      <c r="AC65" s="838"/>
      <c r="AD65" s="838"/>
      <c r="AE65" s="838"/>
      <c r="AF65" s="838"/>
      <c r="AG65" s="29"/>
      <c r="AH65" s="29"/>
      <c r="AI65" s="863"/>
      <c r="AJ65" s="29"/>
      <c r="AK65" s="29"/>
      <c r="AL65" s="32"/>
      <c r="AM65" s="32"/>
      <c r="AN65" s="838"/>
      <c r="AO65" s="838"/>
      <c r="AP65" s="838"/>
      <c r="AQ65" s="838"/>
      <c r="AR65" s="838"/>
      <c r="AS65" s="838"/>
      <c r="AT65" s="838"/>
    </row>
    <row r="66" spans="1:46" ht="13" x14ac:dyDescent="0.3">
      <c r="A66" s="1535" t="s">
        <v>594</v>
      </c>
      <c r="B66" s="1535"/>
      <c r="C66" s="1534"/>
      <c r="D66" s="838"/>
      <c r="E66" s="1540" t="s">
        <v>323</v>
      </c>
      <c r="F66" s="1540"/>
      <c r="G66" s="1540"/>
      <c r="H66" s="1540"/>
      <c r="I66" s="29"/>
      <c r="J66" s="29"/>
      <c r="K66" s="29"/>
      <c r="L66" s="29"/>
      <c r="M66" s="29"/>
      <c r="N66" s="32"/>
      <c r="O66" s="29"/>
      <c r="P66" s="29"/>
      <c r="Q66" s="30"/>
      <c r="R66" s="30"/>
      <c r="S66" s="30"/>
      <c r="T66" s="30"/>
      <c r="U66" s="30"/>
      <c r="V66" s="30"/>
      <c r="W66" s="30"/>
      <c r="X66" s="30"/>
      <c r="Y66" s="14"/>
      <c r="Z66" s="882"/>
      <c r="AA66" s="838"/>
      <c r="AB66" s="838"/>
      <c r="AC66" s="838"/>
      <c r="AD66" s="838"/>
      <c r="AE66" s="838"/>
      <c r="AF66" s="838"/>
      <c r="AG66" s="29"/>
      <c r="AH66" s="29"/>
      <c r="AI66" s="863"/>
      <c r="AJ66" s="29"/>
      <c r="AK66" s="29"/>
      <c r="AL66" s="32"/>
      <c r="AM66" s="32"/>
      <c r="AN66" s="838"/>
      <c r="AO66" s="838"/>
      <c r="AP66" s="838"/>
      <c r="AQ66" s="838"/>
      <c r="AR66" s="838"/>
      <c r="AS66" s="838"/>
      <c r="AT66" s="838"/>
    </row>
    <row r="67" spans="1:46" ht="13" x14ac:dyDescent="0.3">
      <c r="A67" s="1535" t="s">
        <v>26</v>
      </c>
      <c r="B67" s="23"/>
      <c r="C67" s="23"/>
      <c r="D67" s="23"/>
      <c r="E67" s="29" t="s">
        <v>32</v>
      </c>
      <c r="F67" s="29"/>
      <c r="G67" s="29"/>
      <c r="H67" s="29"/>
      <c r="I67" s="29"/>
      <c r="J67" s="29"/>
      <c r="K67" s="29"/>
      <c r="L67" s="29"/>
      <c r="M67" s="29"/>
      <c r="N67" s="32"/>
      <c r="O67" s="29"/>
      <c r="P67" s="29"/>
      <c r="Q67" s="30"/>
      <c r="R67" s="30"/>
      <c r="S67" s="30"/>
      <c r="T67" s="30"/>
      <c r="U67" s="30"/>
      <c r="V67" s="30"/>
      <c r="W67" s="30"/>
      <c r="X67" s="30"/>
      <c r="Y67" s="14"/>
      <c r="Z67" s="882"/>
      <c r="AA67" s="838"/>
      <c r="AB67" s="838"/>
      <c r="AC67" s="838"/>
      <c r="AD67" s="838"/>
      <c r="AE67" s="838"/>
      <c r="AF67" s="838"/>
      <c r="AG67" s="29"/>
      <c r="AH67" s="29"/>
      <c r="AI67" s="863"/>
      <c r="AJ67" s="29"/>
      <c r="AK67" s="29"/>
      <c r="AL67" s="32"/>
      <c r="AM67" s="32"/>
      <c r="AN67" s="838"/>
      <c r="AO67" s="838"/>
      <c r="AP67" s="838"/>
      <c r="AQ67" s="838"/>
      <c r="AR67" s="838"/>
      <c r="AS67" s="838"/>
      <c r="AT67" s="838"/>
    </row>
    <row r="68" spans="1:46" x14ac:dyDescent="0.25">
      <c r="A68" s="1532"/>
      <c r="B68" s="23"/>
      <c r="C68" s="23"/>
      <c r="D68" s="30"/>
      <c r="E68" s="29" t="s">
        <v>380</v>
      </c>
      <c r="F68" s="30"/>
      <c r="G68" s="30"/>
      <c r="H68" s="30"/>
      <c r="I68" s="29"/>
      <c r="J68" s="29"/>
      <c r="K68" s="29"/>
      <c r="L68" s="29"/>
      <c r="M68" s="29"/>
      <c r="N68" s="32"/>
      <c r="O68" s="29"/>
      <c r="P68" s="29"/>
      <c r="Q68" s="30"/>
      <c r="R68" s="30"/>
      <c r="S68" s="30"/>
      <c r="T68" s="30"/>
      <c r="U68" s="30"/>
      <c r="V68" s="30"/>
      <c r="W68" s="30"/>
      <c r="X68" s="30"/>
      <c r="Y68" s="14"/>
      <c r="Z68" s="882"/>
      <c r="AA68" s="838"/>
      <c r="AB68" s="838"/>
      <c r="AC68" s="838"/>
      <c r="AD68" s="838"/>
      <c r="AE68" s="838"/>
      <c r="AF68" s="838"/>
      <c r="AG68" s="29"/>
      <c r="AH68" s="29"/>
      <c r="AI68" s="863"/>
      <c r="AJ68" s="29"/>
      <c r="AK68" s="29"/>
      <c r="AL68" s="32"/>
      <c r="AM68" s="32"/>
      <c r="AN68" s="838"/>
      <c r="AO68" s="838"/>
      <c r="AP68" s="838"/>
      <c r="AQ68" s="838"/>
      <c r="AR68" s="838"/>
      <c r="AS68" s="838"/>
      <c r="AT68" s="838"/>
    </row>
    <row r="69" spans="1:46" ht="13" thickBot="1" x14ac:dyDescent="0.3">
      <c r="A69" s="1532"/>
      <c r="B69" s="23"/>
      <c r="C69" s="23"/>
      <c r="D69" s="30"/>
      <c r="E69" s="29" t="s">
        <v>331</v>
      </c>
      <c r="F69" s="30"/>
      <c r="G69" s="30"/>
      <c r="H69" s="30"/>
      <c r="I69" s="29"/>
      <c r="J69" s="29"/>
      <c r="K69" s="29"/>
      <c r="L69" s="29"/>
      <c r="M69" s="29"/>
      <c r="N69" s="32"/>
      <c r="O69" s="29"/>
      <c r="P69" s="29"/>
      <c r="Q69" s="30"/>
      <c r="R69" s="30"/>
      <c r="S69" s="30"/>
      <c r="T69" s="30"/>
      <c r="U69" s="30"/>
      <c r="V69" s="51"/>
      <c r="W69" s="33"/>
      <c r="X69" s="33"/>
      <c r="Y69" s="14"/>
      <c r="Z69" s="882"/>
      <c r="AA69" s="838"/>
      <c r="AB69" s="838"/>
      <c r="AC69" s="838"/>
      <c r="AD69" s="838"/>
      <c r="AE69" s="838"/>
      <c r="AF69" s="838"/>
      <c r="AG69" s="29"/>
      <c r="AH69" s="29"/>
      <c r="AI69" s="863"/>
      <c r="AJ69" s="29"/>
      <c r="AK69" s="29"/>
      <c r="AL69" s="32"/>
      <c r="AM69" s="32"/>
      <c r="AN69" s="838"/>
      <c r="AO69" s="838"/>
      <c r="AP69" s="838"/>
      <c r="AQ69" s="838"/>
      <c r="AR69" s="838"/>
      <c r="AS69" s="838"/>
      <c r="AT69" s="838"/>
    </row>
    <row r="70" spans="1:46" ht="16.5" customHeight="1" x14ac:dyDescent="0.35">
      <c r="A70" s="1533"/>
      <c r="B70" s="1541" t="s">
        <v>591</v>
      </c>
      <c r="C70" s="866" t="s">
        <v>593</v>
      </c>
      <c r="D70" s="893"/>
      <c r="E70" s="893"/>
      <c r="F70" s="893"/>
      <c r="G70" s="893"/>
      <c r="H70" s="893"/>
      <c r="I70" s="43"/>
      <c r="J70" s="43"/>
      <c r="K70" s="43"/>
      <c r="L70" s="43"/>
      <c r="M70" s="43"/>
      <c r="N70" s="979"/>
      <c r="O70" s="1542"/>
      <c r="P70" s="43"/>
      <c r="Q70" s="893"/>
      <c r="R70" s="1096"/>
      <c r="S70" s="1543"/>
      <c r="T70" s="62"/>
      <c r="U70" s="62"/>
      <c r="V70" s="63"/>
      <c r="W70" s="63"/>
      <c r="X70" s="63"/>
      <c r="Y70" s="63"/>
      <c r="Z70" s="63"/>
      <c r="AA70" s="885"/>
      <c r="AB70" s="882"/>
      <c r="AC70" s="882"/>
      <c r="AD70" s="838"/>
      <c r="AE70" s="838"/>
      <c r="AF70" s="838"/>
      <c r="AG70" s="29"/>
      <c r="AH70" s="43"/>
      <c r="AI70" s="43"/>
      <c r="AJ70" s="43"/>
      <c r="AK70" s="43"/>
      <c r="AL70" s="43"/>
      <c r="AM70" s="32"/>
      <c r="AN70" s="838"/>
      <c r="AO70" s="838"/>
      <c r="AP70" s="838"/>
      <c r="AQ70" s="838"/>
      <c r="AR70" s="838"/>
      <c r="AS70" s="838"/>
      <c r="AT70" s="838"/>
    </row>
    <row r="71" spans="1:46" ht="15.5" hidden="1" x14ac:dyDescent="0.35">
      <c r="A71" s="74"/>
      <c r="B71" s="23"/>
      <c r="C71" s="23"/>
      <c r="D71" s="23"/>
      <c r="E71" s="76" t="s">
        <v>34</v>
      </c>
      <c r="F71" s="84"/>
      <c r="G71" s="84"/>
      <c r="H71" s="84"/>
      <c r="I71" s="77"/>
      <c r="J71" s="29"/>
      <c r="K71" s="29"/>
      <c r="L71" s="29"/>
      <c r="M71" s="29"/>
      <c r="N71" s="32"/>
      <c r="O71" s="29"/>
      <c r="P71" s="29"/>
      <c r="Q71" s="30"/>
      <c r="R71" s="30"/>
      <c r="S71" s="30"/>
      <c r="T71" s="30"/>
      <c r="U71" s="30"/>
      <c r="V71" s="30"/>
      <c r="W71" s="30"/>
      <c r="X71" s="76"/>
      <c r="Y71" s="23"/>
      <c r="Z71" s="838"/>
      <c r="AA71" s="838"/>
      <c r="AB71" s="29"/>
      <c r="AC71" s="29"/>
      <c r="AD71" s="29"/>
      <c r="AE71" s="838"/>
      <c r="AF71" s="838"/>
      <c r="AG71" s="29"/>
      <c r="AH71" s="893"/>
      <c r="AI71" s="893"/>
      <c r="AJ71" s="893"/>
      <c r="AK71" s="43"/>
      <c r="AL71" s="893"/>
      <c r="AM71" s="43"/>
      <c r="AN71" s="838"/>
      <c r="AO71" s="838"/>
      <c r="AP71" s="838"/>
      <c r="AQ71" s="838"/>
      <c r="AR71" s="838"/>
      <c r="AS71" s="838"/>
      <c r="AT71" s="838"/>
    </row>
    <row r="72" spans="1:46" ht="15.5" hidden="1" x14ac:dyDescent="0.35">
      <c r="E72" s="76" t="s">
        <v>35</v>
      </c>
      <c r="F72" s="84"/>
      <c r="G72" s="84"/>
      <c r="H72" s="84"/>
      <c r="I72" s="77"/>
      <c r="J72" s="6"/>
      <c r="K72" s="6"/>
      <c r="L72" s="6"/>
      <c r="M72" s="6"/>
      <c r="N72" s="36"/>
      <c r="O72" s="37"/>
      <c r="P72" s="6"/>
      <c r="Q72" s="14"/>
      <c r="R72" s="92"/>
      <c r="S72" s="86"/>
      <c r="T72" s="93"/>
      <c r="U72" s="93"/>
      <c r="V72" s="87"/>
      <c r="W72" s="87"/>
      <c r="X72" s="87"/>
      <c r="Z72" s="838"/>
      <c r="AA72" s="838"/>
      <c r="AB72" s="838"/>
      <c r="AC72" s="838"/>
      <c r="AD72" s="838"/>
      <c r="AE72" s="838"/>
      <c r="AF72" s="838"/>
      <c r="AG72" s="29"/>
      <c r="AH72" s="838"/>
      <c r="AI72" s="838"/>
      <c r="AJ72" s="838"/>
      <c r="AK72" s="29"/>
      <c r="AL72" s="863"/>
      <c r="AM72" s="29"/>
      <c r="AN72" s="838"/>
      <c r="AO72" s="838"/>
      <c r="AP72" s="838"/>
      <c r="AQ72" s="838"/>
      <c r="AR72" s="838"/>
      <c r="AS72" s="838"/>
      <c r="AT72" s="838"/>
    </row>
    <row r="73" spans="1:46" ht="15.5" hidden="1" x14ac:dyDescent="0.35">
      <c r="E73" s="76" t="s">
        <v>33</v>
      </c>
      <c r="F73" s="84"/>
      <c r="G73" s="84"/>
      <c r="H73" s="84"/>
      <c r="I73" s="77"/>
      <c r="J73" s="6"/>
      <c r="K73" s="6"/>
      <c r="L73" s="6"/>
      <c r="M73" s="6"/>
      <c r="N73" s="36"/>
      <c r="O73" s="37"/>
      <c r="P73" s="6"/>
      <c r="Q73" s="14"/>
      <c r="R73" s="92"/>
      <c r="S73" s="86"/>
      <c r="T73" s="93"/>
      <c r="U73" s="93"/>
      <c r="V73" s="87"/>
      <c r="W73" s="87"/>
      <c r="X73" s="87"/>
      <c r="Z73" s="838"/>
      <c r="AA73" s="838"/>
      <c r="AB73" s="838"/>
      <c r="AC73" s="838"/>
      <c r="AD73" s="838"/>
      <c r="AE73" s="838"/>
      <c r="AF73" s="838"/>
      <c r="AG73" s="838"/>
      <c r="AH73" s="838"/>
      <c r="AI73" s="838"/>
      <c r="AJ73" s="838"/>
      <c r="AK73" s="838"/>
      <c r="AL73" s="838"/>
      <c r="AM73" s="838"/>
      <c r="AN73" s="838"/>
      <c r="AO73" s="838"/>
      <c r="AP73" s="838"/>
      <c r="AQ73" s="838"/>
      <c r="AR73" s="838"/>
      <c r="AS73" s="838"/>
      <c r="AT73" s="838"/>
    </row>
    <row r="74" spans="1:46" ht="13.5" hidden="1" thickBot="1" x14ac:dyDescent="0.35">
      <c r="B74" s="94"/>
      <c r="C74" s="51"/>
      <c r="D74" s="51"/>
      <c r="E74" s="95"/>
      <c r="F74" s="95"/>
      <c r="G74" s="95"/>
      <c r="H74" s="95"/>
      <c r="I74" s="95"/>
      <c r="J74" s="96"/>
      <c r="K74" s="6"/>
      <c r="L74" s="6"/>
      <c r="M74" s="6"/>
      <c r="N74" s="36"/>
      <c r="O74" s="6"/>
      <c r="P74" s="37"/>
      <c r="R74" s="97"/>
      <c r="S74" s="98"/>
      <c r="T74" s="51"/>
      <c r="U74" s="51"/>
      <c r="V74" s="51"/>
      <c r="W74" s="51"/>
      <c r="X74" s="51"/>
      <c r="Z74" s="838"/>
      <c r="AA74" s="838"/>
      <c r="AB74" s="838"/>
      <c r="AC74" s="838"/>
      <c r="AD74" s="838"/>
      <c r="AE74" s="838"/>
      <c r="AF74" s="838"/>
      <c r="AG74" s="838"/>
      <c r="AH74" s="838"/>
      <c r="AI74" s="838"/>
      <c r="AJ74" s="838"/>
      <c r="AK74" s="838"/>
      <c r="AL74" s="838"/>
      <c r="AM74" s="838"/>
      <c r="AN74" s="838"/>
      <c r="AO74" s="838"/>
      <c r="AP74" s="838"/>
      <c r="AQ74" s="838"/>
      <c r="AR74" s="838"/>
      <c r="AS74" s="838"/>
      <c r="AT74" s="838"/>
    </row>
    <row r="75" spans="1:46" ht="13" hidden="1" x14ac:dyDescent="0.3">
      <c r="B75" s="94"/>
      <c r="C75" s="51"/>
      <c r="D75" s="51"/>
      <c r="E75" s="95"/>
      <c r="F75" s="95"/>
      <c r="G75" s="95"/>
      <c r="H75" s="95"/>
      <c r="I75" s="95"/>
      <c r="J75" s="96"/>
      <c r="K75" s="6"/>
      <c r="L75" s="6"/>
      <c r="M75" s="6"/>
      <c r="N75" s="36"/>
      <c r="O75" s="6"/>
      <c r="P75" s="37"/>
      <c r="R75" s="97"/>
      <c r="S75" s="99"/>
      <c r="T75" s="96"/>
      <c r="U75" s="51"/>
      <c r="V75" s="51"/>
      <c r="W75" s="51"/>
      <c r="X75" s="51"/>
      <c r="Z75" s="838"/>
      <c r="AA75" s="838"/>
      <c r="AB75" s="838"/>
      <c r="AC75" s="838"/>
      <c r="AD75" s="838"/>
      <c r="AE75" s="838"/>
      <c r="AF75" s="838"/>
      <c r="AG75" s="838"/>
      <c r="AH75" s="838"/>
      <c r="AI75" s="838"/>
      <c r="AJ75" s="838"/>
      <c r="AK75" s="838"/>
      <c r="AL75" s="838"/>
      <c r="AM75" s="838"/>
      <c r="AN75" s="838"/>
      <c r="AO75" s="838"/>
      <c r="AP75" s="838"/>
      <c r="AQ75" s="838"/>
      <c r="AR75" s="838"/>
      <c r="AS75" s="838"/>
      <c r="AT75" s="838"/>
    </row>
    <row r="76" spans="1:46" ht="16" hidden="1" thickBot="1" x14ac:dyDescent="0.4">
      <c r="B76" s="94"/>
      <c r="C76" s="51"/>
      <c r="D76" s="51"/>
      <c r="E76" s="95"/>
      <c r="F76" s="95"/>
      <c r="G76" s="95"/>
      <c r="H76" s="95"/>
      <c r="I76" s="95"/>
      <c r="J76" s="95"/>
      <c r="K76" s="6"/>
      <c r="L76" s="6"/>
      <c r="M76" s="6"/>
      <c r="N76" s="36"/>
      <c r="O76" s="6"/>
      <c r="P76" s="37"/>
      <c r="R76" s="100"/>
      <c r="S76" s="101"/>
      <c r="T76" s="101"/>
      <c r="U76" s="101"/>
      <c r="V76" s="51"/>
      <c r="W76" s="51"/>
      <c r="X76" s="47"/>
      <c r="Y76" s="102"/>
      <c r="Z76" s="102"/>
      <c r="AA76" s="102"/>
      <c r="AB76" s="103"/>
      <c r="AC76" s="850"/>
      <c r="AD76" s="838"/>
      <c r="AE76" s="838"/>
      <c r="AF76" s="838"/>
      <c r="AG76" s="838"/>
      <c r="AH76" s="838"/>
      <c r="AI76" s="838"/>
      <c r="AJ76" s="838"/>
      <c r="AK76" s="838"/>
      <c r="AL76" s="838"/>
      <c r="AM76" s="838"/>
      <c r="AN76" s="838"/>
      <c r="AO76" s="838"/>
      <c r="AP76" s="838"/>
      <c r="AQ76" s="838"/>
      <c r="AR76" s="838"/>
      <c r="AS76" s="838"/>
      <c r="AT76" s="838"/>
    </row>
    <row r="77" spans="1:46" ht="13" hidden="1" x14ac:dyDescent="0.3">
      <c r="B77" s="94"/>
      <c r="C77" s="51"/>
      <c r="D77" s="51"/>
      <c r="E77" s="95"/>
      <c r="F77" s="51"/>
      <c r="G77" s="51"/>
      <c r="H77" s="95"/>
      <c r="I77" s="95"/>
      <c r="J77" s="96"/>
      <c r="K77" s="6"/>
      <c r="L77" s="6"/>
      <c r="M77" s="95"/>
      <c r="N77" s="36"/>
      <c r="O77" s="6"/>
      <c r="P77" s="6"/>
      <c r="Z77" s="838"/>
      <c r="AA77" s="838"/>
      <c r="AB77" s="838"/>
      <c r="AC77" s="838"/>
      <c r="AD77" s="838"/>
      <c r="AE77" s="838"/>
      <c r="AF77" s="838"/>
      <c r="AG77" s="838"/>
      <c r="AH77" s="838"/>
      <c r="AI77" s="838"/>
      <c r="AJ77" s="838"/>
      <c r="AK77" s="838"/>
      <c r="AL77" s="838"/>
      <c r="AM77" s="838"/>
      <c r="AN77" s="838"/>
      <c r="AO77" s="838"/>
      <c r="AP77" s="838"/>
      <c r="AQ77" s="838"/>
      <c r="AR77" s="838"/>
      <c r="AS77" s="838"/>
      <c r="AT77" s="838"/>
    </row>
    <row r="78" spans="1:46" ht="15" customHeight="1" x14ac:dyDescent="0.3">
      <c r="B78" s="105"/>
      <c r="C78" s="51"/>
      <c r="D78" s="51"/>
      <c r="E78" s="95"/>
      <c r="F78" s="95"/>
      <c r="G78" s="96"/>
      <c r="H78" s="95"/>
      <c r="I78" s="95"/>
      <c r="J78" s="95"/>
      <c r="K78" s="36"/>
      <c r="L78" s="6"/>
      <c r="M78" s="95"/>
      <c r="N78" s="36"/>
      <c r="O78" s="6"/>
      <c r="P78" s="6"/>
      <c r="Z78" s="838"/>
      <c r="AA78" s="838"/>
      <c r="AB78" s="838"/>
      <c r="AC78" s="838"/>
      <c r="AD78" s="838"/>
      <c r="AE78" s="838"/>
      <c r="AF78" s="838"/>
      <c r="AG78" s="29"/>
      <c r="AH78" s="893"/>
      <c r="AI78" s="893"/>
      <c r="AJ78" s="893"/>
      <c r="AK78" s="43"/>
      <c r="AL78" s="893"/>
      <c r="AM78" s="43"/>
      <c r="AN78" s="838"/>
      <c r="AO78" s="838"/>
      <c r="AP78" s="838"/>
      <c r="AQ78" s="838"/>
      <c r="AR78" s="838"/>
      <c r="AS78" s="838"/>
      <c r="AT78" s="838"/>
    </row>
    <row r="79" spans="1:46" ht="15.5" x14ac:dyDescent="0.35">
      <c r="B79" s="978"/>
      <c r="C79" s="896"/>
      <c r="D79" s="63"/>
      <c r="E79" s="979"/>
      <c r="F79" s="32"/>
      <c r="G79" s="32"/>
      <c r="H79" s="32"/>
      <c r="I79" s="32"/>
      <c r="J79" s="1682"/>
      <c r="K79" s="1682"/>
      <c r="L79" s="1682"/>
      <c r="M79" s="1682"/>
      <c r="N79" s="1682"/>
      <c r="O79" s="1682"/>
      <c r="P79" s="1682"/>
      <c r="Q79" s="1682"/>
      <c r="R79" s="1682"/>
      <c r="S79" s="1682"/>
      <c r="T79" s="1682"/>
      <c r="U79" s="1682"/>
      <c r="V79" s="1683"/>
      <c r="W79" s="1682"/>
      <c r="X79" s="1682"/>
      <c r="Y79" s="46"/>
      <c r="Z79" s="1174"/>
      <c r="AB79" s="838"/>
      <c r="AC79" s="838"/>
      <c r="AD79" s="838"/>
      <c r="AE79" s="838"/>
      <c r="AF79" s="838"/>
      <c r="AG79" s="29"/>
      <c r="AH79" s="838"/>
      <c r="AI79" s="838"/>
      <c r="AJ79" s="838"/>
      <c r="AK79" s="29"/>
      <c r="AL79" s="863"/>
      <c r="AM79" s="29"/>
      <c r="AN79" s="838"/>
      <c r="AO79" s="838"/>
      <c r="AP79" s="838"/>
      <c r="AQ79" s="838"/>
      <c r="AR79" s="838"/>
      <c r="AS79" s="838"/>
      <c r="AT79" s="838"/>
    </row>
    <row r="80" spans="1:46" ht="15.5" x14ac:dyDescent="0.35">
      <c r="B80" s="978"/>
      <c r="C80" s="896"/>
      <c r="D80" s="63"/>
      <c r="E80" s="979"/>
      <c r="F80" s="32"/>
      <c r="G80" s="32"/>
      <c r="H80" s="1181"/>
      <c r="I80" s="32"/>
      <c r="J80" s="1682"/>
      <c r="K80" s="1682"/>
      <c r="L80" s="1682"/>
      <c r="M80" s="1682"/>
      <c r="N80" s="1682"/>
      <c r="O80" s="1682"/>
      <c r="P80" s="1682"/>
      <c r="Q80" s="1682"/>
      <c r="R80" s="1682"/>
      <c r="S80" s="1682"/>
      <c r="T80" s="1682"/>
      <c r="U80" s="1682"/>
      <c r="V80" s="1683"/>
      <c r="W80" s="1684"/>
      <c r="X80" s="1684"/>
      <c r="Y80" s="46"/>
      <c r="Z80" s="1174"/>
      <c r="AA80" s="46"/>
      <c r="AB80" s="838"/>
      <c r="AC80" s="838"/>
      <c r="AD80" s="838"/>
      <c r="AE80" s="838"/>
      <c r="AF80" s="838"/>
      <c r="AG80" s="29"/>
      <c r="AH80" s="838"/>
      <c r="AI80" s="838"/>
      <c r="AJ80" s="838"/>
      <c r="AK80" s="29"/>
      <c r="AL80" s="863"/>
      <c r="AM80" s="29"/>
      <c r="AN80" s="838"/>
      <c r="AO80" s="838"/>
      <c r="AP80" s="838"/>
      <c r="AQ80" s="838"/>
      <c r="AR80" s="838"/>
      <c r="AS80" s="838"/>
      <c r="AT80" s="838"/>
    </row>
    <row r="81" spans="1:46" ht="16" thickBot="1" x14ac:dyDescent="0.4">
      <c r="B81" s="51"/>
      <c r="C81" s="51"/>
      <c r="D81" s="51"/>
      <c r="E81" s="32"/>
      <c r="F81" s="35"/>
      <c r="G81" s="35"/>
      <c r="H81" s="35"/>
      <c r="I81" s="32"/>
      <c r="J81" s="53"/>
      <c r="K81" s="6"/>
      <c r="L81" s="19"/>
      <c r="M81" s="45"/>
      <c r="N81" s="45"/>
      <c r="O81" s="27"/>
      <c r="P81" s="19" t="s">
        <v>37</v>
      </c>
      <c r="T81" s="106" t="s">
        <v>38</v>
      </c>
      <c r="V81" s="1879" t="s">
        <v>302</v>
      </c>
      <c r="W81" s="1880"/>
      <c r="X81" s="1881"/>
      <c r="Z81" s="838"/>
      <c r="AA81" s="838"/>
      <c r="AB81" s="838"/>
      <c r="AC81" s="838"/>
      <c r="AD81" s="838"/>
      <c r="AE81" s="838"/>
      <c r="AF81" s="838"/>
      <c r="AG81" s="866"/>
      <c r="AH81" s="838"/>
      <c r="AI81" s="838"/>
      <c r="AJ81" s="838"/>
      <c r="AK81" s="29"/>
      <c r="AL81" s="838"/>
      <c r="AM81" s="838"/>
      <c r="AN81" s="838"/>
      <c r="AO81" s="838"/>
      <c r="AP81" s="838"/>
      <c r="AQ81" s="838"/>
      <c r="AR81" s="838"/>
      <c r="AS81" s="838"/>
      <c r="AT81" s="838"/>
    </row>
    <row r="82" spans="1:46" ht="16" thickBot="1" x14ac:dyDescent="0.4">
      <c r="B82" s="51"/>
      <c r="C82" s="51"/>
      <c r="D82" s="51"/>
      <c r="E82" s="32"/>
      <c r="F82" s="35"/>
      <c r="G82" s="35"/>
      <c r="H82" s="35"/>
      <c r="I82" s="32"/>
      <c r="K82" s="6"/>
      <c r="L82" s="19"/>
      <c r="M82" s="45"/>
      <c r="N82" s="45"/>
      <c r="O82" s="839"/>
      <c r="P82" s="19"/>
      <c r="T82" s="106"/>
      <c r="V82" s="1556" t="s">
        <v>575</v>
      </c>
      <c r="W82" s="1548" t="s">
        <v>399</v>
      </c>
      <c r="X82" s="1548" t="s">
        <v>579</v>
      </c>
      <c r="Y82" s="1545"/>
      <c r="Z82" s="1546"/>
      <c r="AA82" s="838"/>
      <c r="AB82" s="838"/>
      <c r="AC82" s="838"/>
      <c r="AD82" s="838"/>
      <c r="AE82" s="838"/>
      <c r="AF82" s="838"/>
      <c r="AG82" s="866"/>
      <c r="AH82" s="838"/>
      <c r="AI82" s="838"/>
      <c r="AJ82" s="838"/>
      <c r="AK82" s="29"/>
      <c r="AL82" s="838"/>
      <c r="AM82" s="838"/>
      <c r="AN82" s="838"/>
      <c r="AO82" s="838"/>
      <c r="AP82" s="838"/>
      <c r="AQ82" s="838"/>
      <c r="AR82" s="838"/>
      <c r="AS82" s="838"/>
      <c r="AT82" s="838"/>
    </row>
    <row r="83" spans="1:46" ht="16" thickBot="1" x14ac:dyDescent="0.4">
      <c r="A83" s="51"/>
      <c r="B83" s="51"/>
      <c r="E83" s="6"/>
      <c r="I83" s="6"/>
      <c r="K83" s="6"/>
      <c r="L83" s="19"/>
      <c r="M83" s="45"/>
      <c r="N83" s="45"/>
      <c r="O83" s="27"/>
      <c r="P83" s="19" t="s">
        <v>39</v>
      </c>
      <c r="T83" s="107" t="s">
        <v>40</v>
      </c>
      <c r="U83" s="19" t="s">
        <v>41</v>
      </c>
      <c r="V83" s="1557" t="s">
        <v>576</v>
      </c>
      <c r="W83" s="1548" t="s">
        <v>574</v>
      </c>
      <c r="X83" s="1548" t="s">
        <v>577</v>
      </c>
      <c r="Y83" s="1547" t="s">
        <v>42</v>
      </c>
      <c r="Z83" s="1546"/>
      <c r="AA83" s="838"/>
      <c r="AB83" s="838"/>
      <c r="AC83" s="838"/>
      <c r="AD83" s="838"/>
      <c r="AE83" s="838"/>
      <c r="AF83" s="838"/>
      <c r="AG83" s="866"/>
      <c r="AH83" s="102"/>
      <c r="AI83" s="102"/>
      <c r="AJ83" s="102"/>
      <c r="AK83" s="103"/>
      <c r="AL83" s="838"/>
      <c r="AM83" s="838"/>
      <c r="AN83" s="838"/>
      <c r="AO83" s="838"/>
      <c r="AP83" s="838"/>
      <c r="AQ83" s="838"/>
      <c r="AR83" s="838"/>
      <c r="AS83" s="838"/>
      <c r="AT83" s="838"/>
    </row>
    <row r="84" spans="1:46" ht="16" thickBot="1" x14ac:dyDescent="0.4">
      <c r="A84" s="110"/>
      <c r="B84" s="51"/>
      <c r="C84" s="104"/>
      <c r="D84" s="104"/>
      <c r="E84" s="47"/>
      <c r="F84" s="102"/>
      <c r="G84" s="102"/>
      <c r="H84" s="102"/>
      <c r="I84" s="103"/>
      <c r="J84" s="827" t="s">
        <v>275</v>
      </c>
      <c r="K84" s="111" t="s">
        <v>43</v>
      </c>
      <c r="L84" s="112">
        <v>12084795</v>
      </c>
      <c r="M84" s="112">
        <v>6792955</v>
      </c>
      <c r="N84" s="112">
        <v>5291840</v>
      </c>
      <c r="O84" s="112">
        <f>P84+Q84</f>
        <v>9478097.379999999</v>
      </c>
      <c r="P84" s="112">
        <v>5326831.0199999996</v>
      </c>
      <c r="Q84" s="112">
        <v>4151266.36</v>
      </c>
      <c r="R84" s="113"/>
      <c r="S84" s="113"/>
      <c r="T84" s="114" t="e">
        <f>U84+#REF!</f>
        <v>#REF!</v>
      </c>
      <c r="U84" s="112">
        <v>6382248.29</v>
      </c>
      <c r="V84" s="1549">
        <f>W84+X84</f>
        <v>12212217.84</v>
      </c>
      <c r="W84" s="1550">
        <v>6573441.0599999996</v>
      </c>
      <c r="X84" s="1551">
        <v>5638776.7800000003</v>
      </c>
      <c r="Y84" s="115">
        <v>5255096</v>
      </c>
      <c r="Z84" s="116"/>
      <c r="AA84" s="838"/>
      <c r="AB84" s="838"/>
      <c r="AC84" s="838"/>
      <c r="AD84" s="838"/>
      <c r="AE84" s="838"/>
      <c r="AF84" s="838"/>
      <c r="AG84" s="838"/>
      <c r="AH84" s="838"/>
      <c r="AI84" s="838"/>
      <c r="AJ84" s="838"/>
      <c r="AK84" s="838"/>
      <c r="AL84" s="838"/>
      <c r="AM84" s="838"/>
      <c r="AN84" s="838"/>
      <c r="AO84" s="838"/>
      <c r="AP84" s="838"/>
      <c r="AQ84" s="838"/>
      <c r="AR84" s="838"/>
      <c r="AS84" s="838"/>
      <c r="AT84" s="838"/>
    </row>
    <row r="85" spans="1:46" ht="0.75" customHeight="1" thickBot="1" x14ac:dyDescent="0.3">
      <c r="A85" s="117"/>
      <c r="B85" s="104"/>
      <c r="C85" s="104"/>
      <c r="D85" s="104"/>
      <c r="E85" s="104"/>
      <c r="F85" s="104"/>
      <c r="G85" s="104"/>
      <c r="H85" s="104"/>
      <c r="I85" s="6"/>
      <c r="J85" s="6"/>
      <c r="K85" s="6"/>
      <c r="L85" s="118"/>
      <c r="M85" s="118"/>
      <c r="N85" s="119"/>
      <c r="O85" s="118"/>
      <c r="P85" s="118"/>
      <c r="Q85" s="119"/>
      <c r="R85" s="118"/>
      <c r="S85" s="118"/>
      <c r="T85" s="120"/>
      <c r="U85" s="118"/>
      <c r="V85" s="118"/>
      <c r="W85" s="828"/>
      <c r="X85" s="831"/>
      <c r="Y85" s="121"/>
      <c r="Z85" s="122"/>
      <c r="AA85" s="838"/>
      <c r="AB85" s="838"/>
      <c r="AC85" s="838"/>
      <c r="AD85" s="838"/>
      <c r="AE85" s="838"/>
      <c r="AF85" s="838"/>
      <c r="AG85" s="838"/>
      <c r="AH85" s="838"/>
      <c r="AI85" s="838"/>
      <c r="AJ85" s="838"/>
      <c r="AK85" s="838"/>
      <c r="AL85" s="838"/>
      <c r="AM85" s="838"/>
      <c r="AN85" s="838"/>
      <c r="AO85" s="838"/>
      <c r="AP85" s="838"/>
      <c r="AQ85" s="838"/>
      <c r="AR85" s="838"/>
      <c r="AS85" s="838"/>
      <c r="AT85" s="838"/>
    </row>
    <row r="86" spans="1:46" ht="14" x14ac:dyDescent="0.3">
      <c r="A86" s="123"/>
      <c r="B86" s="124"/>
      <c r="C86" s="124"/>
      <c r="D86" s="124"/>
      <c r="E86" s="124" t="s">
        <v>44</v>
      </c>
      <c r="F86" s="124"/>
      <c r="G86" s="124"/>
      <c r="H86" s="124"/>
      <c r="I86" s="125"/>
      <c r="J86" s="125"/>
      <c r="K86" s="125"/>
      <c r="L86" s="126" t="s">
        <v>45</v>
      </c>
      <c r="M86" s="127" t="s">
        <v>46</v>
      </c>
      <c r="N86" s="126" t="s">
        <v>46</v>
      </c>
      <c r="O86" s="126" t="s">
        <v>45</v>
      </c>
      <c r="P86" s="127" t="s">
        <v>46</v>
      </c>
      <c r="Q86" s="126" t="s">
        <v>46</v>
      </c>
      <c r="R86" s="126"/>
      <c r="S86" s="126"/>
      <c r="T86" s="128" t="s">
        <v>45</v>
      </c>
      <c r="U86" s="127" t="s">
        <v>46</v>
      </c>
      <c r="V86" s="971" t="s">
        <v>273</v>
      </c>
      <c r="W86" s="829" t="s">
        <v>47</v>
      </c>
      <c r="X86" s="832" t="s">
        <v>47</v>
      </c>
      <c r="Y86" s="129"/>
      <c r="Z86" s="130"/>
      <c r="AA86" s="838"/>
      <c r="AB86" s="838"/>
      <c r="AC86" s="838"/>
      <c r="AD86" s="838"/>
      <c r="AE86" s="838"/>
      <c r="AF86" s="838"/>
      <c r="AG86" s="838"/>
      <c r="AH86" s="838"/>
      <c r="AI86" s="838"/>
      <c r="AJ86" s="838"/>
      <c r="AK86" s="838"/>
      <c r="AL86" s="838"/>
      <c r="AM86" s="838"/>
      <c r="AN86" s="838"/>
      <c r="AO86" s="838"/>
      <c r="AP86" s="838"/>
      <c r="AQ86" s="838"/>
      <c r="AR86" s="838"/>
      <c r="AS86" s="838"/>
      <c r="AT86" s="838"/>
    </row>
    <row r="87" spans="1:46" ht="14.5" thickBot="1" x14ac:dyDescent="0.35">
      <c r="A87" s="131"/>
      <c r="B87" s="132"/>
      <c r="C87" s="132"/>
      <c r="D87" s="132"/>
      <c r="E87" s="132"/>
      <c r="F87" s="132"/>
      <c r="G87" s="132"/>
      <c r="H87" s="132"/>
      <c r="I87" s="133"/>
      <c r="J87" s="133"/>
      <c r="K87" s="133"/>
      <c r="L87" s="134" t="s">
        <v>48</v>
      </c>
      <c r="M87" s="135" t="s">
        <v>49</v>
      </c>
      <c r="N87" s="134" t="s">
        <v>50</v>
      </c>
      <c r="O87" s="134" t="s">
        <v>48</v>
      </c>
      <c r="P87" s="135" t="s">
        <v>49</v>
      </c>
      <c r="Q87" s="134" t="s">
        <v>50</v>
      </c>
      <c r="R87" s="134" t="s">
        <v>51</v>
      </c>
      <c r="S87" s="134" t="s">
        <v>52</v>
      </c>
      <c r="T87" s="136" t="s">
        <v>48</v>
      </c>
      <c r="U87" s="135" t="s">
        <v>49</v>
      </c>
      <c r="V87" s="972" t="s">
        <v>274</v>
      </c>
      <c r="W87" s="830" t="s">
        <v>53</v>
      </c>
      <c r="X87" s="833" t="s">
        <v>50</v>
      </c>
      <c r="Y87" s="137"/>
      <c r="Z87" s="130"/>
      <c r="AA87" s="838"/>
      <c r="AB87" s="838"/>
      <c r="AC87" s="838"/>
      <c r="AD87" s="838"/>
      <c r="AE87" s="838"/>
      <c r="AF87" s="838"/>
      <c r="AG87" s="838"/>
      <c r="AH87" s="838"/>
      <c r="AI87" s="838"/>
      <c r="AJ87" s="838"/>
      <c r="AK87" s="838"/>
      <c r="AL87" s="838"/>
      <c r="AM87" s="838"/>
      <c r="AN87" s="838"/>
      <c r="AO87" s="838"/>
      <c r="AP87" s="838"/>
      <c r="AQ87" s="838"/>
      <c r="AR87" s="838"/>
      <c r="AS87" s="838"/>
      <c r="AT87" s="838"/>
    </row>
    <row r="88" spans="1:46" ht="14" x14ac:dyDescent="0.3">
      <c r="A88" s="138"/>
      <c r="B88" s="139" t="s">
        <v>54</v>
      </c>
      <c r="C88" s="140"/>
      <c r="D88" s="140"/>
      <c r="E88" s="140"/>
      <c r="F88" s="140"/>
      <c r="G88" s="140"/>
      <c r="H88" s="140"/>
      <c r="I88" s="56"/>
      <c r="J88" s="56"/>
      <c r="K88" s="56"/>
      <c r="L88" s="141">
        <f>M88+N88</f>
        <v>1156680</v>
      </c>
      <c r="M88" s="142">
        <f>M89+M95+M96+M97+M98</f>
        <v>578340</v>
      </c>
      <c r="N88" s="142">
        <f>N89+N95+N96+N97+N98</f>
        <v>578340</v>
      </c>
      <c r="O88" s="141">
        <f>P88+Q88</f>
        <v>1113445.28</v>
      </c>
      <c r="P88" s="142">
        <f>P89+P95+P96+P97+P98</f>
        <v>540450.52</v>
      </c>
      <c r="Q88" s="142">
        <f>Q89+Q95+Q96+Q97+Q98</f>
        <v>572994.76</v>
      </c>
      <c r="R88" s="143">
        <f>R89+R95+R96+R97+R98</f>
        <v>3.6403755966782185</v>
      </c>
      <c r="S88" s="141">
        <f>R88/R238*100</f>
        <v>14.065819273290735</v>
      </c>
      <c r="T88" s="141" t="e">
        <f>U88+#REF!</f>
        <v>#REF!</v>
      </c>
      <c r="U88" s="142">
        <f>U89+U95+U96+U97+U98</f>
        <v>648520</v>
      </c>
      <c r="V88" s="871">
        <f>W88+X88</f>
        <v>872240</v>
      </c>
      <c r="W88" s="1552">
        <f>W89+W96+W97+W98</f>
        <v>422020</v>
      </c>
      <c r="X88" s="1553">
        <f>X89+X96+X97+X98</f>
        <v>450220</v>
      </c>
      <c r="Y88" s="144">
        <f>Y89+Y95+Y96+Y97+Y98</f>
        <v>0</v>
      </c>
      <c r="Z88" s="145"/>
      <c r="AA88" s="1026"/>
      <c r="AB88" s="35"/>
      <c r="AC88" s="35"/>
      <c r="AD88" s="35"/>
      <c r="AE88" s="35"/>
      <c r="AF88" s="35"/>
      <c r="AG88" s="35"/>
      <c r="AH88" s="838"/>
      <c r="AI88" s="838"/>
      <c r="AJ88" s="838"/>
      <c r="AK88" s="838"/>
      <c r="AL88" s="838"/>
      <c r="AM88" s="838"/>
      <c r="AN88" s="838"/>
      <c r="AO88" s="838"/>
      <c r="AP88" s="838"/>
      <c r="AQ88" s="838"/>
      <c r="AR88" s="838"/>
      <c r="AS88" s="838"/>
      <c r="AT88" s="838"/>
    </row>
    <row r="89" spans="1:46" ht="13" x14ac:dyDescent="0.3">
      <c r="A89" s="146"/>
      <c r="B89" s="147" t="s">
        <v>276</v>
      </c>
      <c r="C89" s="147"/>
      <c r="D89" s="147"/>
      <c r="E89" s="147"/>
      <c r="F89" s="147"/>
      <c r="G89" s="147"/>
      <c r="H89" s="147"/>
      <c r="I89" s="147"/>
      <c r="J89" s="1554" t="s">
        <v>437</v>
      </c>
      <c r="K89" s="148" t="s">
        <v>55</v>
      </c>
      <c r="L89" s="149">
        <f>M89+N89</f>
        <v>593480</v>
      </c>
      <c r="M89" s="150">
        <v>296740</v>
      </c>
      <c r="N89" s="151">
        <v>296740</v>
      </c>
      <c r="O89" s="152">
        <f>P89+Q89</f>
        <v>647230</v>
      </c>
      <c r="P89" s="153">
        <f>P91+P92+P93+P94</f>
        <v>303850</v>
      </c>
      <c r="Q89" s="150">
        <f>Q91+Q92+Q93+Q94</f>
        <v>343380</v>
      </c>
      <c r="R89" s="154">
        <f>O89/10/30586</f>
        <v>2.1160988687634865</v>
      </c>
      <c r="S89" s="149" t="e">
        <f>U89+#REF!</f>
        <v>#REF!</v>
      </c>
      <c r="T89" s="152" t="e">
        <f>U89+#REF!</f>
        <v>#REF!</v>
      </c>
      <c r="U89" s="153">
        <f>U91+U92+U93+U94</f>
        <v>364620</v>
      </c>
      <c r="V89" s="231">
        <f>W89+X89</f>
        <v>798240</v>
      </c>
      <c r="W89" s="1200">
        <f>W91+W92+W93+W94+W95</f>
        <v>400020</v>
      </c>
      <c r="X89" s="1200">
        <f>X91+X92+X93+X94+X95</f>
        <v>398220</v>
      </c>
      <c r="Y89" s="155"/>
      <c r="Z89" s="276"/>
      <c r="AA89" s="156"/>
      <c r="AB89" s="35"/>
      <c r="AC89" s="35"/>
      <c r="AD89" s="35"/>
      <c r="AE89" s="35"/>
      <c r="AF89" s="35"/>
      <c r="AG89" s="35"/>
      <c r="AH89" s="838"/>
      <c r="AI89" s="838"/>
      <c r="AJ89" s="838"/>
      <c r="AK89" s="838"/>
      <c r="AL89" s="838"/>
      <c r="AM89" s="838"/>
      <c r="AN89" s="838"/>
      <c r="AO89" s="838"/>
      <c r="AP89" s="838"/>
      <c r="AQ89" s="838"/>
      <c r="AR89" s="838"/>
      <c r="AS89" s="838"/>
      <c r="AT89" s="838"/>
    </row>
    <row r="90" spans="1:46" ht="13" hidden="1" x14ac:dyDescent="0.3">
      <c r="A90" s="157"/>
      <c r="B90" s="158"/>
      <c r="C90" s="158"/>
      <c r="D90" s="158"/>
      <c r="E90" s="158"/>
      <c r="F90" s="158"/>
      <c r="G90" s="158"/>
      <c r="H90" s="158"/>
      <c r="I90" s="158"/>
      <c r="J90" s="885"/>
      <c r="K90" s="159"/>
      <c r="L90" s="160"/>
      <c r="M90" s="161"/>
      <c r="N90" s="162"/>
      <c r="O90" s="163"/>
      <c r="P90" s="164"/>
      <c r="Q90" s="165"/>
      <c r="R90" s="166"/>
      <c r="S90" s="160"/>
      <c r="T90" s="163"/>
      <c r="U90" s="164"/>
      <c r="V90" s="231"/>
      <c r="W90" s="1201"/>
      <c r="X90" s="1201"/>
      <c r="Y90" s="167"/>
      <c r="Z90" s="242"/>
      <c r="AA90" s="35"/>
      <c r="AB90" s="35"/>
      <c r="AC90" s="35"/>
      <c r="AD90" s="35"/>
      <c r="AE90" s="35"/>
      <c r="AF90" s="35"/>
      <c r="AG90" s="35"/>
      <c r="AH90" s="838"/>
      <c r="AI90" s="838"/>
      <c r="AJ90" s="838"/>
      <c r="AK90" s="838"/>
      <c r="AL90" s="838"/>
      <c r="AM90" s="838"/>
      <c r="AN90" s="838"/>
      <c r="AO90" s="838"/>
      <c r="AP90" s="838"/>
      <c r="AQ90" s="838"/>
      <c r="AR90" s="838"/>
      <c r="AS90" s="838"/>
      <c r="AT90" s="838"/>
    </row>
    <row r="91" spans="1:46" ht="13" x14ac:dyDescent="0.3">
      <c r="A91" s="146"/>
      <c r="B91" s="168" t="s">
        <v>56</v>
      </c>
      <c r="C91" s="168"/>
      <c r="D91" s="168"/>
      <c r="E91" s="168"/>
      <c r="F91" s="168"/>
      <c r="G91" s="168"/>
      <c r="H91" s="158"/>
      <c r="I91" s="158"/>
      <c r="J91" s="1555" t="s">
        <v>438</v>
      </c>
      <c r="K91" s="158"/>
      <c r="L91" s="160">
        <f t="shared" ref="L91:L99" si="0">M91+N91</f>
        <v>161880</v>
      </c>
      <c r="M91" s="161">
        <v>80940</v>
      </c>
      <c r="N91" s="169">
        <v>80940</v>
      </c>
      <c r="O91" s="163">
        <f t="shared" ref="O91:O99" si="1">P91+Q91</f>
        <v>134900</v>
      </c>
      <c r="P91" s="164">
        <v>67450</v>
      </c>
      <c r="Q91" s="161">
        <v>67450</v>
      </c>
      <c r="R91" s="170">
        <f t="shared" ref="R91:R98" si="2">O91/10/30586</f>
        <v>0.44105146145295232</v>
      </c>
      <c r="S91" s="160" t="e">
        <f>U91+#REF!</f>
        <v>#REF!</v>
      </c>
      <c r="T91" s="163" t="e">
        <f>U91+#REF!</f>
        <v>#REF!</v>
      </c>
      <c r="U91" s="164">
        <v>80940</v>
      </c>
      <c r="V91" s="231">
        <f t="shared" ref="V91:V98" si="3">W91+X91</f>
        <v>323400</v>
      </c>
      <c r="W91" s="1201">
        <v>162600</v>
      </c>
      <c r="X91" s="1201">
        <v>160800</v>
      </c>
      <c r="Y91" s="171"/>
      <c r="Z91" s="277"/>
      <c r="AA91" s="172"/>
      <c r="AB91" s="35"/>
      <c r="AC91" s="35"/>
      <c r="AD91" s="35"/>
      <c r="AE91" s="35"/>
      <c r="AF91" s="35"/>
      <c r="AG91" s="35"/>
      <c r="AH91" s="839"/>
      <c r="AI91" s="838"/>
      <c r="AJ91" s="838"/>
      <c r="AK91" s="838"/>
      <c r="AL91" s="838"/>
      <c r="AM91" s="838"/>
      <c r="AN91" s="838"/>
      <c r="AO91" s="838"/>
      <c r="AP91" s="838"/>
      <c r="AQ91" s="838"/>
      <c r="AR91" s="838"/>
      <c r="AS91" s="838"/>
      <c r="AT91" s="838"/>
    </row>
    <row r="92" spans="1:46" ht="13" x14ac:dyDescent="0.3">
      <c r="A92" s="146"/>
      <c r="B92" s="168" t="s">
        <v>57</v>
      </c>
      <c r="C92" s="168"/>
      <c r="D92" s="168"/>
      <c r="E92" s="168"/>
      <c r="F92" s="168"/>
      <c r="G92" s="168"/>
      <c r="H92" s="158"/>
      <c r="I92" s="158"/>
      <c r="J92" s="158"/>
      <c r="K92" s="158"/>
      <c r="L92" s="160">
        <f t="shared" si="0"/>
        <v>63600</v>
      </c>
      <c r="M92" s="161">
        <v>31800</v>
      </c>
      <c r="N92" s="169">
        <v>31800</v>
      </c>
      <c r="O92" s="163">
        <f t="shared" si="1"/>
        <v>53000</v>
      </c>
      <c r="P92" s="164">
        <v>26500</v>
      </c>
      <c r="Q92" s="161">
        <v>26500</v>
      </c>
      <c r="R92" s="170">
        <f t="shared" si="2"/>
        <v>0.17328189367684563</v>
      </c>
      <c r="S92" s="160" t="e">
        <f>U92+#REF!</f>
        <v>#REF!</v>
      </c>
      <c r="T92" s="163" t="e">
        <f>U92+#REF!</f>
        <v>#REF!</v>
      </c>
      <c r="U92" s="164">
        <v>31800</v>
      </c>
      <c r="V92" s="231">
        <f t="shared" si="3"/>
        <v>63600</v>
      </c>
      <c r="W92" s="1201">
        <v>31800</v>
      </c>
      <c r="X92" s="1201">
        <v>31800</v>
      </c>
      <c r="Y92" s="171"/>
      <c r="Z92" s="276"/>
      <c r="AA92" s="172"/>
      <c r="AB92" s="35"/>
      <c r="AC92" s="35"/>
      <c r="AD92" s="35"/>
      <c r="AE92" s="35"/>
      <c r="AF92" s="35"/>
      <c r="AG92" s="35"/>
      <c r="AH92" s="838"/>
      <c r="AI92" s="838"/>
      <c r="AJ92" s="838"/>
      <c r="AK92" s="838"/>
      <c r="AL92" s="838"/>
      <c r="AM92" s="838"/>
      <c r="AN92" s="838"/>
      <c r="AO92" s="838"/>
      <c r="AP92" s="838"/>
      <c r="AQ92" s="838"/>
      <c r="AR92" s="838"/>
      <c r="AS92" s="838"/>
      <c r="AT92" s="838"/>
    </row>
    <row r="93" spans="1:46" ht="13" x14ac:dyDescent="0.3">
      <c r="A93" s="146"/>
      <c r="B93" s="168" t="s">
        <v>58</v>
      </c>
      <c r="C93" s="168"/>
      <c r="D93" s="168"/>
      <c r="E93" s="168"/>
      <c r="F93" s="168"/>
      <c r="G93" s="168"/>
      <c r="H93" s="158"/>
      <c r="I93" s="158"/>
      <c r="J93" s="158"/>
      <c r="K93" s="173"/>
      <c r="L93" s="160">
        <f t="shared" si="0"/>
        <v>348000</v>
      </c>
      <c r="M93" s="161">
        <v>174000</v>
      </c>
      <c r="N93" s="169">
        <v>174000</v>
      </c>
      <c r="O93" s="163">
        <f t="shared" si="1"/>
        <v>290000</v>
      </c>
      <c r="P93" s="164">
        <v>145000</v>
      </c>
      <c r="Q93" s="161">
        <v>145000</v>
      </c>
      <c r="R93" s="170">
        <f t="shared" si="2"/>
        <v>0.9481462106846269</v>
      </c>
      <c r="S93" s="160" t="e">
        <f>U93+#REF!</f>
        <v>#REF!</v>
      </c>
      <c r="T93" s="163" t="e">
        <f>U93+#REF!</f>
        <v>#REF!</v>
      </c>
      <c r="U93" s="164">
        <v>174000</v>
      </c>
      <c r="V93" s="231">
        <f t="shared" si="3"/>
        <v>348000</v>
      </c>
      <c r="W93" s="1201">
        <v>174000</v>
      </c>
      <c r="X93" s="1201">
        <v>174000</v>
      </c>
      <c r="Y93" s="171"/>
      <c r="Z93" s="276"/>
      <c r="AA93" s="172"/>
      <c r="AB93" s="35"/>
      <c r="AC93" s="35"/>
      <c r="AD93" s="35"/>
      <c r="AE93" s="35"/>
      <c r="AF93" s="35"/>
      <c r="AG93" s="148"/>
      <c r="AH93" s="838"/>
      <c r="AI93" s="838"/>
      <c r="AJ93" s="838"/>
      <c r="AK93" s="838"/>
      <c r="AL93" s="838"/>
      <c r="AM93" s="838"/>
      <c r="AN93" s="838"/>
      <c r="AO93" s="838"/>
      <c r="AP93" s="838"/>
      <c r="AQ93" s="838"/>
      <c r="AR93" s="838"/>
      <c r="AS93" s="838"/>
      <c r="AT93" s="838"/>
    </row>
    <row r="94" spans="1:46" ht="13" x14ac:dyDescent="0.3">
      <c r="A94" s="146"/>
      <c r="B94" s="868" t="s">
        <v>59</v>
      </c>
      <c r="C94" s="859"/>
      <c r="D94" s="859"/>
      <c r="E94" s="878"/>
      <c r="F94" s="878"/>
      <c r="G94" s="878"/>
      <c r="H94" s="878"/>
      <c r="I94" s="878"/>
      <c r="J94" s="158"/>
      <c r="K94" s="158"/>
      <c r="L94" s="160">
        <f t="shared" si="0"/>
        <v>20000</v>
      </c>
      <c r="M94" s="161">
        <v>10000</v>
      </c>
      <c r="N94" s="169">
        <v>10000</v>
      </c>
      <c r="O94" s="163">
        <f t="shared" si="1"/>
        <v>169330</v>
      </c>
      <c r="P94" s="164">
        <f>49560+15340</f>
        <v>64900</v>
      </c>
      <c r="Q94" s="161">
        <f>69148+35282</f>
        <v>104430</v>
      </c>
      <c r="R94" s="170">
        <f t="shared" si="2"/>
        <v>0.5536193029490617</v>
      </c>
      <c r="S94" s="160" t="e">
        <f>U94+#REF!</f>
        <v>#REF!</v>
      </c>
      <c r="T94" s="163" t="e">
        <f>U94+#REF!</f>
        <v>#REF!</v>
      </c>
      <c r="U94" s="164">
        <v>77880</v>
      </c>
      <c r="V94" s="1202">
        <f t="shared" si="3"/>
        <v>43200</v>
      </c>
      <c r="W94" s="900">
        <v>21600</v>
      </c>
      <c r="X94" s="1203">
        <v>21600</v>
      </c>
      <c r="Y94" s="171"/>
      <c r="Z94" s="838"/>
      <c r="AA94" s="175"/>
      <c r="AB94" s="35"/>
      <c r="AC94" s="35"/>
      <c r="AD94" s="35"/>
      <c r="AE94" s="35"/>
      <c r="AF94" s="35"/>
      <c r="AG94" s="176"/>
      <c r="AH94" s="838"/>
      <c r="AI94" s="838"/>
      <c r="AJ94" s="838"/>
      <c r="AK94" s="838"/>
      <c r="AL94" s="838"/>
      <c r="AM94" s="838"/>
      <c r="AN94" s="838"/>
      <c r="AO94" s="838"/>
      <c r="AP94" s="838"/>
      <c r="AQ94" s="838"/>
      <c r="AR94" s="838"/>
      <c r="AS94" s="838"/>
      <c r="AT94" s="838"/>
    </row>
    <row r="95" spans="1:46" ht="15.5" x14ac:dyDescent="0.35">
      <c r="A95" s="146"/>
      <c r="B95" s="878" t="s">
        <v>309</v>
      </c>
      <c r="C95" s="888"/>
      <c r="D95" s="845"/>
      <c r="E95" s="845"/>
      <c r="F95" s="845"/>
      <c r="G95" s="845"/>
      <c r="H95" s="845"/>
      <c r="I95" s="845"/>
      <c r="J95" s="147"/>
      <c r="K95" s="147"/>
      <c r="L95" s="160">
        <f t="shared" si="0"/>
        <v>206160</v>
      </c>
      <c r="M95" s="161">
        <v>103080</v>
      </c>
      <c r="N95" s="169">
        <v>103080</v>
      </c>
      <c r="O95" s="163">
        <f t="shared" si="1"/>
        <v>172300</v>
      </c>
      <c r="P95" s="164">
        <v>85900</v>
      </c>
      <c r="Q95" s="178">
        <f>85900+500</f>
        <v>86400</v>
      </c>
      <c r="R95" s="170">
        <f t="shared" si="2"/>
        <v>0.56332962793434904</v>
      </c>
      <c r="S95" s="160" t="e">
        <f>U95+#REF!</f>
        <v>#REF!</v>
      </c>
      <c r="T95" s="163" t="e">
        <f>U95+#REF!</f>
        <v>#REF!</v>
      </c>
      <c r="U95" s="164">
        <v>103000</v>
      </c>
      <c r="V95" s="903">
        <f t="shared" si="3"/>
        <v>20040</v>
      </c>
      <c r="W95" s="1204">
        <v>10020</v>
      </c>
      <c r="X95" s="1205">
        <v>10020</v>
      </c>
      <c r="Y95" s="179"/>
      <c r="Z95" s="276"/>
      <c r="AA95" s="172"/>
      <c r="AB95" s="35"/>
      <c r="AC95" s="35"/>
      <c r="AD95" s="35"/>
      <c r="AE95" s="35"/>
      <c r="AF95" s="35"/>
      <c r="AG95" s="32"/>
      <c r="AH95" s="838"/>
      <c r="AI95" s="838"/>
      <c r="AJ95" s="838"/>
      <c r="AK95" s="838"/>
      <c r="AL95" s="838"/>
      <c r="AM95" s="838"/>
      <c r="AN95" s="838"/>
      <c r="AO95" s="838"/>
      <c r="AP95" s="838"/>
      <c r="AQ95" s="838"/>
      <c r="AR95" s="838"/>
      <c r="AS95" s="838"/>
      <c r="AT95" s="838"/>
    </row>
    <row r="96" spans="1:46" ht="13" x14ac:dyDescent="0.3">
      <c r="A96" s="157"/>
      <c r="B96" s="147" t="s">
        <v>441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60">
        <f t="shared" si="0"/>
        <v>336000</v>
      </c>
      <c r="M96" s="161">
        <v>168000</v>
      </c>
      <c r="N96" s="169">
        <v>168000</v>
      </c>
      <c r="O96" s="163">
        <f t="shared" si="1"/>
        <v>274642.23</v>
      </c>
      <c r="P96" s="164">
        <v>141064</v>
      </c>
      <c r="Q96" s="178">
        <f>119578.23+14000</f>
        <v>133578.22999999998</v>
      </c>
      <c r="R96" s="170">
        <f t="shared" si="2"/>
        <v>0.89793444713267501</v>
      </c>
      <c r="S96" s="160" t="e">
        <f>U96+#REF!</f>
        <v>#REF!</v>
      </c>
      <c r="T96" s="163" t="e">
        <f>U96+#REF!</f>
        <v>#REF!</v>
      </c>
      <c r="U96" s="164">
        <v>169300</v>
      </c>
      <c r="V96" s="231">
        <v>0</v>
      </c>
      <c r="W96" s="1200">
        <v>0</v>
      </c>
      <c r="X96" s="1200">
        <v>0</v>
      </c>
      <c r="Y96" s="180"/>
      <c r="Z96" s="316"/>
      <c r="AA96" s="35"/>
      <c r="AB96" s="35"/>
      <c r="AC96" s="35"/>
      <c r="AD96" s="35"/>
      <c r="AE96" s="35"/>
      <c r="AF96" s="35"/>
      <c r="AG96" s="176"/>
      <c r="AH96" s="995"/>
      <c r="AI96" s="838"/>
      <c r="AJ96" s="838"/>
      <c r="AK96" s="838"/>
      <c r="AL96" s="838"/>
      <c r="AM96" s="838"/>
      <c r="AN96" s="838"/>
      <c r="AO96" s="838"/>
      <c r="AP96" s="838"/>
      <c r="AQ96" s="838"/>
      <c r="AR96" s="838"/>
      <c r="AS96" s="838"/>
      <c r="AT96" s="838"/>
    </row>
    <row r="97" spans="1:46" ht="13" x14ac:dyDescent="0.3">
      <c r="A97" s="157"/>
      <c r="B97" s="147" t="s">
        <v>61</v>
      </c>
      <c r="C97" s="147"/>
      <c r="D97" s="147"/>
      <c r="E97" s="147"/>
      <c r="F97" s="147"/>
      <c r="G97" s="147"/>
      <c r="H97" s="147"/>
      <c r="I97" s="147"/>
      <c r="J97" s="147"/>
      <c r="K97" s="147"/>
      <c r="L97" s="160">
        <f t="shared" si="0"/>
        <v>1000</v>
      </c>
      <c r="M97" s="161">
        <v>500</v>
      </c>
      <c r="N97" s="169">
        <v>500</v>
      </c>
      <c r="O97" s="163">
        <f t="shared" si="1"/>
        <v>0</v>
      </c>
      <c r="P97" s="164"/>
      <c r="Q97" s="178"/>
      <c r="R97" s="170">
        <f t="shared" si="2"/>
        <v>0</v>
      </c>
      <c r="S97" s="160" t="e">
        <f>U97+#REF!</f>
        <v>#REF!</v>
      </c>
      <c r="T97" s="163" t="e">
        <f>U97+#REF!</f>
        <v>#REF!</v>
      </c>
      <c r="U97" s="164"/>
      <c r="V97" s="903">
        <f t="shared" si="3"/>
        <v>4000</v>
      </c>
      <c r="W97" s="900">
        <v>2000</v>
      </c>
      <c r="X97" s="900">
        <v>2000</v>
      </c>
      <c r="Y97" s="180"/>
      <c r="Z97" s="316"/>
      <c r="AA97" s="1026"/>
      <c r="AB97" s="35"/>
      <c r="AC97" s="35"/>
      <c r="AD97" s="35"/>
      <c r="AE97" s="35"/>
      <c r="AF97" s="35"/>
      <c r="AG97" s="35"/>
      <c r="AH97" s="838"/>
      <c r="AI97" s="838"/>
      <c r="AJ97" s="838"/>
      <c r="AK97" s="838"/>
      <c r="AL97" s="838"/>
      <c r="AM97" s="838"/>
      <c r="AN97" s="838"/>
      <c r="AO97" s="838"/>
      <c r="AP97" s="838"/>
      <c r="AQ97" s="838"/>
      <c r="AR97" s="838"/>
      <c r="AS97" s="838"/>
      <c r="AT97" s="838"/>
    </row>
    <row r="98" spans="1:46" ht="13.5" thickBot="1" x14ac:dyDescent="0.35">
      <c r="A98" s="181"/>
      <c r="B98" s="182" t="s">
        <v>62</v>
      </c>
      <c r="C98" s="182"/>
      <c r="D98" s="182"/>
      <c r="E98" s="182"/>
      <c r="F98" s="182"/>
      <c r="G98" s="182"/>
      <c r="H98" s="182"/>
      <c r="I98" s="182"/>
      <c r="J98" s="182"/>
      <c r="K98" s="182"/>
      <c r="L98" s="183">
        <f t="shared" si="0"/>
        <v>20040</v>
      </c>
      <c r="M98" s="184">
        <v>10020</v>
      </c>
      <c r="N98" s="185">
        <v>10020</v>
      </c>
      <c r="O98" s="186">
        <f t="shared" si="1"/>
        <v>19273.050000000003</v>
      </c>
      <c r="P98" s="187">
        <f>8350+1010.52+276</f>
        <v>9636.52</v>
      </c>
      <c r="Q98" s="184">
        <f>8350+1010.53+276</f>
        <v>9636.5300000000007</v>
      </c>
      <c r="R98" s="170">
        <f t="shared" si="2"/>
        <v>6.3012652847708114E-2</v>
      </c>
      <c r="S98" s="160" t="e">
        <f>U98+#REF!</f>
        <v>#REF!</v>
      </c>
      <c r="T98" s="186" t="e">
        <f>U98+#REF!</f>
        <v>#REF!</v>
      </c>
      <c r="U98" s="187">
        <f>10020+1580</f>
        <v>11600</v>
      </c>
      <c r="V98" s="903">
        <f t="shared" si="3"/>
        <v>70000</v>
      </c>
      <c r="W98" s="1206">
        <v>20000</v>
      </c>
      <c r="X98" s="1206">
        <v>50000</v>
      </c>
      <c r="Y98" s="188"/>
      <c r="Z98" s="277"/>
      <c r="AA98" s="35"/>
      <c r="AB98" s="847"/>
      <c r="AC98" s="35"/>
      <c r="AD98" s="35"/>
      <c r="AE98" s="35"/>
      <c r="AF98" s="35"/>
      <c r="AG98" s="35"/>
      <c r="AH98" s="838"/>
      <c r="AI98" s="838"/>
      <c r="AJ98" s="838"/>
      <c r="AK98" s="838"/>
      <c r="AL98" s="838"/>
      <c r="AM98" s="838"/>
      <c r="AN98" s="838"/>
      <c r="AO98" s="838"/>
      <c r="AP98" s="838"/>
      <c r="AQ98" s="838"/>
      <c r="AR98" s="838"/>
      <c r="AS98" s="838"/>
      <c r="AT98" s="838"/>
    </row>
    <row r="99" spans="1:46" ht="14" x14ac:dyDescent="0.3">
      <c r="A99" s="138"/>
      <c r="B99" s="190" t="s">
        <v>63</v>
      </c>
      <c r="C99" s="191"/>
      <c r="D99" s="191"/>
      <c r="E99" s="191"/>
      <c r="F99" s="191"/>
      <c r="G99" s="191"/>
      <c r="H99" s="191"/>
      <c r="I99" s="192"/>
      <c r="J99" s="192"/>
      <c r="K99" s="192"/>
      <c r="L99" s="193">
        <f t="shared" si="0"/>
        <v>468706.8</v>
      </c>
      <c r="M99" s="194">
        <f>M101+M102+M103</f>
        <v>234353.4</v>
      </c>
      <c r="N99" s="194">
        <f>N101+N102+N103</f>
        <v>234353.4</v>
      </c>
      <c r="O99" s="193">
        <f t="shared" si="1"/>
        <v>377391.34</v>
      </c>
      <c r="P99" s="194">
        <f>P101+P102+P103</f>
        <v>188695.67</v>
      </c>
      <c r="Q99" s="194">
        <f>Q101+Q102+Q103</f>
        <v>188695.67</v>
      </c>
      <c r="R99" s="195">
        <f>R101+R102+R103</f>
        <v>1.2338695481592885</v>
      </c>
      <c r="S99" s="141">
        <f>R99/R238*100</f>
        <v>4.7674712705639362</v>
      </c>
      <c r="T99" s="193" t="e">
        <f>U99+#REF!</f>
        <v>#REF!</v>
      </c>
      <c r="U99" s="194">
        <f>U101+U102+U103</f>
        <v>226563.5</v>
      </c>
      <c r="V99" s="872">
        <f>W99+X99</f>
        <v>620056.19999999995</v>
      </c>
      <c r="W99" s="913">
        <f>W101+W102+W103</f>
        <v>310028.09999999998</v>
      </c>
      <c r="X99" s="913">
        <f>X101+X102+X103</f>
        <v>310028.09999999998</v>
      </c>
      <c r="Y99" s="196"/>
      <c r="Z99" s="145"/>
      <c r="AA99" s="35"/>
      <c r="AB99" s="35"/>
      <c r="AC99" s="35"/>
      <c r="AD99" s="35"/>
      <c r="AE99" s="35"/>
      <c r="AF99" s="35"/>
      <c r="AG99" s="32"/>
      <c r="AH99" s="838"/>
      <c r="AI99" s="838"/>
      <c r="AJ99" s="838"/>
      <c r="AK99" s="838"/>
      <c r="AL99" s="838"/>
      <c r="AM99" s="838"/>
      <c r="AN99" s="838"/>
      <c r="AO99" s="838"/>
      <c r="AP99" s="838"/>
      <c r="AQ99" s="838"/>
      <c r="AR99" s="838"/>
      <c r="AS99" s="838"/>
      <c r="AT99" s="838"/>
    </row>
    <row r="100" spans="1:46" ht="13" x14ac:dyDescent="0.3">
      <c r="A100" s="146"/>
      <c r="B100" s="197" t="s">
        <v>64</v>
      </c>
      <c r="C100" s="32"/>
      <c r="D100" s="32"/>
      <c r="E100" s="32"/>
      <c r="F100" s="32"/>
      <c r="G100" s="158"/>
      <c r="H100" s="158"/>
      <c r="I100" s="158"/>
      <c r="K100" s="159"/>
      <c r="L100" s="161"/>
      <c r="M100" s="198"/>
      <c r="N100" s="198"/>
      <c r="O100" s="161"/>
      <c r="P100" s="198"/>
      <c r="Q100" s="198"/>
      <c r="R100" s="199"/>
      <c r="S100" s="161"/>
      <c r="T100" s="161"/>
      <c r="U100" s="198"/>
      <c r="V100" s="875"/>
      <c r="W100" s="903"/>
      <c r="X100" s="899"/>
      <c r="Y100" s="200"/>
      <c r="Z100" s="202"/>
      <c r="AA100" s="877"/>
      <c r="AB100" s="35"/>
      <c r="AC100" s="35"/>
      <c r="AD100" s="35"/>
      <c r="AE100" s="35"/>
      <c r="AF100" s="35"/>
      <c r="AG100" s="32"/>
      <c r="AH100" s="612"/>
      <c r="AI100" s="838"/>
      <c r="AJ100" s="838"/>
      <c r="AK100" s="838"/>
      <c r="AL100" s="838"/>
      <c r="AM100" s="838"/>
      <c r="AN100" s="838"/>
      <c r="AO100" s="838"/>
      <c r="AP100" s="838"/>
      <c r="AQ100" s="838"/>
      <c r="AR100" s="838"/>
      <c r="AS100" s="838"/>
      <c r="AT100" s="838"/>
    </row>
    <row r="101" spans="1:46" ht="13" x14ac:dyDescent="0.3">
      <c r="A101" s="157"/>
      <c r="B101" s="197"/>
      <c r="C101" s="158"/>
      <c r="D101" s="158"/>
      <c r="E101" s="158"/>
      <c r="F101" s="158"/>
      <c r="G101" s="204"/>
      <c r="H101" s="148"/>
      <c r="I101" s="33"/>
      <c r="J101" s="1558" t="s">
        <v>435</v>
      </c>
      <c r="K101" s="63"/>
      <c r="L101" s="205">
        <f>M101+N101</f>
        <v>421226.8</v>
      </c>
      <c r="M101" s="206">
        <v>210613.4</v>
      </c>
      <c r="N101" s="206">
        <v>210613.4</v>
      </c>
      <c r="O101" s="205">
        <f>P101+Q101</f>
        <v>351022.5</v>
      </c>
      <c r="P101" s="206">
        <v>175511.25</v>
      </c>
      <c r="Q101" s="206">
        <v>175511.25</v>
      </c>
      <c r="R101" s="154">
        <f>O101/10/30586</f>
        <v>1.1476574249656706</v>
      </c>
      <c r="S101" s="205" t="e">
        <f>U101+#REF!</f>
        <v>#REF!</v>
      </c>
      <c r="T101" s="205" t="e">
        <f>U101+#REF!</f>
        <v>#REF!</v>
      </c>
      <c r="U101" s="206">
        <v>210613.5</v>
      </c>
      <c r="V101" s="903">
        <f>W101+X101</f>
        <v>547576.19999999995</v>
      </c>
      <c r="W101" s="899">
        <v>273788.09999999998</v>
      </c>
      <c r="X101" s="899">
        <v>273788.09999999998</v>
      </c>
      <c r="Y101" s="208"/>
      <c r="Z101" s="910"/>
      <c r="AA101" s="877"/>
      <c r="AB101" s="35"/>
      <c r="AC101" s="209"/>
      <c r="AD101" s="209"/>
      <c r="AE101" s="35"/>
      <c r="AF101" s="35"/>
      <c r="AG101" s="32"/>
      <c r="AH101" s="838"/>
      <c r="AI101" s="838"/>
      <c r="AJ101" s="838"/>
      <c r="AK101" s="838"/>
      <c r="AL101" s="838"/>
      <c r="AM101" s="838"/>
      <c r="AN101" s="838"/>
      <c r="AO101" s="838"/>
      <c r="AP101" s="838"/>
      <c r="AQ101" s="838"/>
      <c r="AR101" s="838"/>
      <c r="AS101" s="838"/>
      <c r="AT101" s="838"/>
    </row>
    <row r="102" spans="1:46" ht="13" x14ac:dyDescent="0.3">
      <c r="A102" s="146"/>
      <c r="B102" s="197" t="s">
        <v>65</v>
      </c>
      <c r="C102" s="158"/>
      <c r="D102" s="158"/>
      <c r="E102" s="158"/>
      <c r="F102" s="158"/>
      <c r="G102" s="158"/>
      <c r="H102" s="158"/>
      <c r="I102" s="158"/>
      <c r="J102" s="1558" t="s">
        <v>436</v>
      </c>
      <c r="K102" s="158"/>
      <c r="L102" s="165">
        <f>M102+N102</f>
        <v>24480</v>
      </c>
      <c r="M102" s="198">
        <v>12240</v>
      </c>
      <c r="N102" s="198">
        <v>12240</v>
      </c>
      <c r="O102" s="165">
        <f>P102+Q102</f>
        <v>20620</v>
      </c>
      <c r="P102" s="198">
        <f>10200+110</f>
        <v>10310</v>
      </c>
      <c r="Q102" s="198">
        <f>10200+110</f>
        <v>10310</v>
      </c>
      <c r="R102" s="170">
        <f>O102/10/30586</f>
        <v>6.741646504936899E-2</v>
      </c>
      <c r="S102" s="165" t="e">
        <f>U102+#REF!</f>
        <v>#REF!</v>
      </c>
      <c r="T102" s="165" t="e">
        <f>U102+#REF!</f>
        <v>#REF!</v>
      </c>
      <c r="U102" s="198">
        <f>12240+260</f>
        <v>12500</v>
      </c>
      <c r="V102" s="903">
        <f>W102+X102</f>
        <v>42480</v>
      </c>
      <c r="W102" s="899">
        <f>12240+9000</f>
        <v>21240</v>
      </c>
      <c r="X102" s="899">
        <f>12240+9000</f>
        <v>21240</v>
      </c>
      <c r="Y102" s="208"/>
      <c r="Z102" s="276"/>
      <c r="AA102" s="210"/>
      <c r="AB102" s="35"/>
      <c r="AC102" s="847"/>
      <c r="AD102" s="847"/>
      <c r="AE102" s="35"/>
      <c r="AF102" s="35"/>
      <c r="AG102" s="32"/>
      <c r="AH102" s="612"/>
      <c r="AI102" s="838"/>
      <c r="AJ102" s="838"/>
      <c r="AK102" s="838"/>
      <c r="AL102" s="838"/>
      <c r="AM102" s="838"/>
      <c r="AN102" s="838"/>
      <c r="AO102" s="838"/>
      <c r="AP102" s="838"/>
      <c r="AQ102" s="838"/>
      <c r="AR102" s="838"/>
      <c r="AS102" s="838"/>
      <c r="AT102" s="838"/>
    </row>
    <row r="103" spans="1:46" ht="13.5" thickBot="1" x14ac:dyDescent="0.35">
      <c r="A103" s="181"/>
      <c r="B103" s="843" t="s">
        <v>67</v>
      </c>
      <c r="C103" s="844"/>
      <c r="D103" s="844"/>
      <c r="E103" s="844"/>
      <c r="F103" s="844"/>
      <c r="G103" s="844"/>
      <c r="H103" s="844"/>
      <c r="I103" s="211"/>
      <c r="J103" s="211"/>
      <c r="K103" s="211"/>
      <c r="L103" s="212">
        <f>M103+N103</f>
        <v>23000</v>
      </c>
      <c r="M103" s="213">
        <v>11500</v>
      </c>
      <c r="N103" s="213">
        <v>11500</v>
      </c>
      <c r="O103" s="212">
        <f>P103+Q103</f>
        <v>5748.84</v>
      </c>
      <c r="P103" s="213">
        <v>2874.42</v>
      </c>
      <c r="Q103" s="213">
        <v>2874.42</v>
      </c>
      <c r="R103" s="170">
        <f>O103/10/30586</f>
        <v>1.8795658144249005E-2</v>
      </c>
      <c r="S103" s="212" t="e">
        <f>U103+#REF!</f>
        <v>#REF!</v>
      </c>
      <c r="T103" s="212" t="e">
        <f>U103+#REF!</f>
        <v>#REF!</v>
      </c>
      <c r="U103" s="213">
        <v>3450</v>
      </c>
      <c r="V103" s="903">
        <f>W103+X103</f>
        <v>30000</v>
      </c>
      <c r="W103" s="214">
        <v>15000</v>
      </c>
      <c r="X103" s="214">
        <v>15000</v>
      </c>
      <c r="Y103" s="215"/>
      <c r="Z103" s="911"/>
      <c r="AA103" s="35"/>
      <c r="AB103" s="35"/>
      <c r="AC103" s="35"/>
      <c r="AD103" s="35"/>
      <c r="AE103" s="35"/>
      <c r="AF103" s="35"/>
      <c r="AG103" s="32"/>
      <c r="AH103" s="612"/>
      <c r="AI103" s="838"/>
      <c r="AJ103" s="838"/>
      <c r="AK103" s="838"/>
      <c r="AL103" s="838"/>
      <c r="AM103" s="838"/>
      <c r="AN103" s="838"/>
      <c r="AO103" s="838"/>
      <c r="AP103" s="838"/>
      <c r="AQ103" s="838"/>
      <c r="AR103" s="838"/>
      <c r="AS103" s="838"/>
      <c r="AT103" s="838"/>
    </row>
    <row r="104" spans="1:46" ht="18.75" customHeight="1" x14ac:dyDescent="0.3">
      <c r="A104" s="867"/>
      <c r="B104" s="870" t="s">
        <v>68</v>
      </c>
      <c r="C104" s="849"/>
      <c r="D104" s="841"/>
      <c r="E104" s="841"/>
      <c r="F104" s="849"/>
      <c r="G104" s="849"/>
      <c r="H104" s="849"/>
      <c r="I104" s="849"/>
      <c r="J104" s="894"/>
      <c r="K104" s="216"/>
      <c r="L104" s="217">
        <f>M104+N104</f>
        <v>3356042</v>
      </c>
      <c r="M104" s="218">
        <f>M105+M116+M123+M134</f>
        <v>1656715</v>
      </c>
      <c r="N104" s="218">
        <f>N105+N116+N123+N134</f>
        <v>1699327</v>
      </c>
      <c r="O104" s="217">
        <f>P104+Q104</f>
        <v>2957464.5</v>
      </c>
      <c r="P104" s="219">
        <f>P105+P111+P115+P116+P123+P134</f>
        <v>1549258.7500000002</v>
      </c>
      <c r="Q104" s="219">
        <f>Q105+Q111+Q115+Q116+Q123+Q134</f>
        <v>1408205.75</v>
      </c>
      <c r="R104" s="220">
        <f>R105+R111+R115+R116+R123+R134</f>
        <v>8.3779327143137383</v>
      </c>
      <c r="S104" s="217">
        <f>R104/R238*100</f>
        <v>32.37096950953535</v>
      </c>
      <c r="T104" s="221" t="e">
        <f>U104+#REF!</f>
        <v>#REF!</v>
      </c>
      <c r="U104" s="218">
        <f>U105+U111+U115+U116+U123+U134</f>
        <v>1809288.71</v>
      </c>
      <c r="V104" s="872">
        <f>V105+V111+V115+V116+V123+V134</f>
        <v>3847638</v>
      </c>
      <c r="W104" s="872">
        <f>W105+W111+W115+W116+W123+W134</f>
        <v>1895833</v>
      </c>
      <c r="X104" s="872">
        <f>X105+X111+X115+X116+X123+X134</f>
        <v>1951805</v>
      </c>
      <c r="Y104" s="222"/>
      <c r="Z104" s="1001"/>
      <c r="AA104" s="35"/>
      <c r="AB104" s="35"/>
      <c r="AC104" s="35"/>
      <c r="AD104" s="35"/>
      <c r="AE104" s="35"/>
      <c r="AF104" s="35"/>
      <c r="AG104" s="35"/>
      <c r="AH104" s="838"/>
      <c r="AI104" s="838"/>
      <c r="AJ104" s="838"/>
      <c r="AK104" s="838"/>
      <c r="AL104" s="838"/>
      <c r="AM104" s="838"/>
      <c r="AN104" s="838"/>
      <c r="AO104" s="838"/>
      <c r="AP104" s="838"/>
      <c r="AQ104" s="838"/>
      <c r="AR104" s="838"/>
      <c r="AS104" s="838"/>
      <c r="AT104" s="838"/>
    </row>
    <row r="105" spans="1:46" ht="13" x14ac:dyDescent="0.3">
      <c r="A105" s="891"/>
      <c r="B105" s="851" t="s">
        <v>69</v>
      </c>
      <c r="C105" s="842"/>
      <c r="D105" s="842"/>
      <c r="E105" s="842"/>
      <c r="F105" s="842"/>
      <c r="G105" s="842"/>
      <c r="H105" s="910"/>
      <c r="I105" s="898"/>
      <c r="J105" s="890"/>
      <c r="K105" s="223"/>
      <c r="L105" s="224">
        <v>788890</v>
      </c>
      <c r="M105" s="225">
        <f>M107</f>
        <v>394445</v>
      </c>
      <c r="N105" s="225">
        <f>N107</f>
        <v>394445</v>
      </c>
      <c r="O105" s="224">
        <f>P105+Q105</f>
        <v>647914</v>
      </c>
      <c r="P105" s="225">
        <f>P107</f>
        <v>323957</v>
      </c>
      <c r="Q105" s="225">
        <f>Q107</f>
        <v>323957</v>
      </c>
      <c r="R105" s="226">
        <f>O105/10/30586</f>
        <v>2.1183351860328257</v>
      </c>
      <c r="S105" s="224" t="e">
        <f>U105+#REF!</f>
        <v>#REF!</v>
      </c>
      <c r="T105" s="224" t="e">
        <f>U105+#REF!</f>
        <v>#REF!</v>
      </c>
      <c r="U105" s="225">
        <f>U107</f>
        <v>407794</v>
      </c>
      <c r="V105" s="903">
        <f>W105+X105</f>
        <v>983006</v>
      </c>
      <c r="W105" s="854">
        <f>W107</f>
        <v>491503</v>
      </c>
      <c r="X105" s="854">
        <f>X107</f>
        <v>491503</v>
      </c>
      <c r="Y105" s="228"/>
      <c r="Z105" s="1002"/>
      <c r="AA105" s="229"/>
      <c r="AB105" s="35"/>
      <c r="AC105" s="35"/>
      <c r="AD105" s="35"/>
      <c r="AE105" s="35"/>
      <c r="AF105" s="35"/>
      <c r="AG105" s="230"/>
      <c r="AH105" s="32"/>
      <c r="AI105" s="838"/>
      <c r="AJ105" s="838"/>
      <c r="AK105" s="838"/>
      <c r="AL105" s="838"/>
      <c r="AM105" s="838"/>
      <c r="AN105" s="838"/>
      <c r="AO105" s="838"/>
      <c r="AP105" s="838"/>
      <c r="AQ105" s="838"/>
      <c r="AR105" s="838"/>
      <c r="AS105" s="838"/>
      <c r="AT105" s="838"/>
    </row>
    <row r="106" spans="1:46" ht="13" x14ac:dyDescent="0.3">
      <c r="A106" s="865"/>
      <c r="B106" s="853" t="s">
        <v>70</v>
      </c>
      <c r="C106" s="842"/>
      <c r="D106" s="842"/>
      <c r="E106" s="842"/>
      <c r="F106" s="842"/>
      <c r="G106" s="842"/>
      <c r="H106" s="842"/>
      <c r="I106" s="842"/>
      <c r="J106" s="864"/>
      <c r="K106" s="158"/>
      <c r="L106" s="231"/>
      <c r="M106" s="198"/>
      <c r="N106" s="198"/>
      <c r="O106" s="231"/>
      <c r="P106" s="198"/>
      <c r="Q106" s="198"/>
      <c r="R106" s="232"/>
      <c r="S106" s="231"/>
      <c r="T106" s="231"/>
      <c r="U106" s="198"/>
      <c r="V106" s="875"/>
      <c r="W106" s="231"/>
      <c r="X106" s="233"/>
      <c r="Y106" s="208"/>
      <c r="Z106" s="1003"/>
      <c r="AA106" s="885"/>
      <c r="AB106" s="35"/>
      <c r="AC106" s="35"/>
      <c r="AD106" s="35"/>
      <c r="AE106" s="35"/>
      <c r="AF106" s="35"/>
      <c r="AG106" s="234"/>
      <c r="AH106" s="838"/>
      <c r="AI106" s="838"/>
      <c r="AJ106" s="838"/>
      <c r="AK106" s="838"/>
      <c r="AL106" s="838"/>
      <c r="AM106" s="838"/>
      <c r="AN106" s="838"/>
      <c r="AO106" s="838"/>
      <c r="AP106" s="838"/>
      <c r="AQ106" s="838"/>
      <c r="AR106" s="838"/>
      <c r="AS106" s="838"/>
      <c r="AT106" s="838"/>
    </row>
    <row r="107" spans="1:46" ht="13" x14ac:dyDescent="0.3">
      <c r="A107" s="869"/>
      <c r="B107" s="853" t="s">
        <v>71</v>
      </c>
      <c r="C107" s="842"/>
      <c r="D107" s="842"/>
      <c r="E107" s="842"/>
      <c r="F107" s="842"/>
      <c r="G107" s="842"/>
      <c r="H107" s="842"/>
      <c r="I107" s="842"/>
      <c r="J107" s="864"/>
      <c r="K107" s="158"/>
      <c r="L107" s="235">
        <f>M107+N107</f>
        <v>788890</v>
      </c>
      <c r="M107" s="236">
        <v>394445</v>
      </c>
      <c r="N107" s="236">
        <v>394445</v>
      </c>
      <c r="O107" s="165">
        <f>P107+Q107</f>
        <v>647914</v>
      </c>
      <c r="P107" s="236">
        <f>449940-P263</f>
        <v>323957</v>
      </c>
      <c r="Q107" s="236">
        <f>449940-Q263</f>
        <v>323957</v>
      </c>
      <c r="R107" s="170">
        <f>O107/10/30586</f>
        <v>2.1183351860328257</v>
      </c>
      <c r="S107" s="165" t="e">
        <f>U107+#REF!</f>
        <v>#REF!</v>
      </c>
      <c r="T107" s="165" t="e">
        <f>U107+#REF!</f>
        <v>#REF!</v>
      </c>
      <c r="U107" s="236">
        <f>539928-U263</f>
        <v>407794</v>
      </c>
      <c r="V107" s="903">
        <f>W107+X107</f>
        <v>983006</v>
      </c>
      <c r="W107" s="1006">
        <v>491503</v>
      </c>
      <c r="X107" s="1006">
        <v>491503</v>
      </c>
      <c r="Y107" s="237"/>
      <c r="Z107" s="1004"/>
      <c r="AA107" s="238"/>
      <c r="AB107" s="847"/>
      <c r="AC107" s="35"/>
      <c r="AD107" s="35"/>
      <c r="AE107" s="35"/>
      <c r="AF107" s="35"/>
      <c r="AG107" s="239"/>
      <c r="AH107" s="838"/>
      <c r="AI107" s="838"/>
      <c r="AJ107" s="838"/>
      <c r="AK107" s="838"/>
      <c r="AL107" s="838"/>
      <c r="AM107" s="838"/>
      <c r="AN107" s="838"/>
      <c r="AO107" s="838"/>
      <c r="AP107" s="838"/>
      <c r="AQ107" s="838"/>
      <c r="AR107" s="838"/>
      <c r="AS107" s="838"/>
      <c r="AT107" s="838"/>
    </row>
    <row r="108" spans="1:46" ht="13" x14ac:dyDescent="0.3">
      <c r="A108" s="869"/>
      <c r="B108" s="853" t="s">
        <v>72</v>
      </c>
      <c r="C108" s="842"/>
      <c r="D108" s="842"/>
      <c r="E108" s="842"/>
      <c r="F108" s="842"/>
      <c r="G108" s="842"/>
      <c r="H108" s="842"/>
      <c r="I108" s="842"/>
      <c r="J108" s="864"/>
      <c r="K108" s="158"/>
      <c r="L108" s="165"/>
      <c r="M108" s="198"/>
      <c r="N108" s="198"/>
      <c r="O108" s="165"/>
      <c r="P108" s="198"/>
      <c r="Q108" s="198"/>
      <c r="R108" s="240"/>
      <c r="S108" s="165" t="s">
        <v>66</v>
      </c>
      <c r="T108" s="165"/>
      <c r="U108" s="198"/>
      <c r="V108" s="875"/>
      <c r="W108" s="241"/>
      <c r="X108" s="875"/>
      <c r="Y108" s="200"/>
      <c r="Z108" s="811"/>
      <c r="AA108" s="243"/>
      <c r="AB108" s="847"/>
      <c r="AC108" s="35"/>
      <c r="AD108" s="35"/>
      <c r="AE108" s="35"/>
      <c r="AF108" s="35"/>
      <c r="AG108" s="53"/>
      <c r="AH108" s="860"/>
      <c r="AI108" s="838"/>
      <c r="AJ108" s="838"/>
      <c r="AK108" s="838"/>
      <c r="AL108" s="838"/>
      <c r="AM108" s="838"/>
      <c r="AN108" s="838"/>
      <c r="AO108" s="838"/>
      <c r="AP108" s="838"/>
      <c r="AQ108" s="838"/>
      <c r="AR108" s="838"/>
      <c r="AS108" s="838"/>
      <c r="AT108" s="838"/>
    </row>
    <row r="109" spans="1:46" ht="13.5" customHeight="1" x14ac:dyDescent="0.3">
      <c r="A109" s="865"/>
      <c r="B109" s="853" t="s">
        <v>73</v>
      </c>
      <c r="C109" s="842"/>
      <c r="D109" s="842"/>
      <c r="E109" s="842"/>
      <c r="F109" s="847"/>
      <c r="G109" s="842"/>
      <c r="H109" s="842"/>
      <c r="I109" s="842"/>
      <c r="J109" s="864"/>
      <c r="K109" s="158"/>
      <c r="L109" s="165"/>
      <c r="M109" s="244"/>
      <c r="N109" s="245"/>
      <c r="O109" s="165"/>
      <c r="P109" s="244"/>
      <c r="Q109" s="245"/>
      <c r="R109" s="240"/>
      <c r="S109" s="165"/>
      <c r="T109" s="246"/>
      <c r="U109" s="245"/>
      <c r="V109" s="906"/>
      <c r="W109" s="247"/>
      <c r="X109" s="245"/>
      <c r="Y109" s="248"/>
      <c r="Z109" s="811"/>
      <c r="AA109" s="998"/>
      <c r="AB109" s="839"/>
      <c r="AC109" s="29"/>
      <c r="AD109" s="29"/>
      <c r="AE109" s="838"/>
      <c r="AF109" s="838"/>
      <c r="AG109" s="35"/>
      <c r="AH109" s="838"/>
      <c r="AI109" s="838"/>
      <c r="AJ109" s="838"/>
      <c r="AK109" s="838"/>
      <c r="AL109" s="838"/>
      <c r="AM109" s="838"/>
      <c r="AN109" s="838"/>
      <c r="AO109" s="838"/>
      <c r="AP109" s="838"/>
      <c r="AQ109" s="838"/>
      <c r="AR109" s="838"/>
      <c r="AS109" s="838"/>
      <c r="AT109" s="838"/>
    </row>
    <row r="110" spans="1:46" ht="13" hidden="1" customHeight="1" x14ac:dyDescent="0.3">
      <c r="A110" s="865"/>
      <c r="B110" s="858"/>
      <c r="C110" s="840"/>
      <c r="D110" s="840"/>
      <c r="E110" s="840"/>
      <c r="F110" s="840"/>
      <c r="G110" s="840"/>
      <c r="H110" s="840"/>
      <c r="I110" s="840"/>
      <c r="J110" s="916"/>
      <c r="K110" s="249"/>
      <c r="L110" s="250"/>
      <c r="M110" s="251"/>
      <c r="N110" s="252"/>
      <c r="O110" s="250"/>
      <c r="P110" s="251"/>
      <c r="Q110" s="252"/>
      <c r="R110" s="253"/>
      <c r="S110" s="250"/>
      <c r="T110" s="254"/>
      <c r="U110" s="252"/>
      <c r="V110" s="884"/>
      <c r="W110" s="255"/>
      <c r="X110" s="252"/>
      <c r="Y110" s="200"/>
      <c r="Z110" s="1005"/>
      <c r="AA110" s="999"/>
      <c r="AB110" s="262"/>
      <c r="AC110" s="838"/>
      <c r="AD110" s="838"/>
      <c r="AE110" s="838"/>
      <c r="AF110" s="838"/>
      <c r="AG110" s="35"/>
      <c r="AH110" s="29"/>
      <c r="AI110" s="838"/>
      <c r="AJ110" s="838"/>
      <c r="AK110" s="838"/>
      <c r="AL110" s="838"/>
      <c r="AM110" s="838"/>
      <c r="AN110" s="838"/>
      <c r="AO110" s="838"/>
      <c r="AP110" s="838"/>
      <c r="AQ110" s="838"/>
      <c r="AR110" s="838"/>
      <c r="AS110" s="838"/>
      <c r="AT110" s="838"/>
    </row>
    <row r="111" spans="1:46" ht="15.5" x14ac:dyDescent="0.35">
      <c r="A111" s="865"/>
      <c r="B111" s="917" t="s">
        <v>416</v>
      </c>
      <c r="C111" s="873"/>
      <c r="D111" s="873"/>
      <c r="E111" s="873"/>
      <c r="F111" s="874"/>
      <c r="G111" s="873"/>
      <c r="H111" s="873"/>
      <c r="I111" s="873"/>
      <c r="J111" s="918"/>
      <c r="K111" s="256"/>
      <c r="L111" s="165">
        <f>M111+N111</f>
        <v>60000</v>
      </c>
      <c r="M111" s="257">
        <v>30000</v>
      </c>
      <c r="N111" s="258">
        <v>30000</v>
      </c>
      <c r="O111" s="259">
        <f t="shared" ref="O111:O121" si="4">P111+Q111</f>
        <v>7987.76</v>
      </c>
      <c r="P111" s="260">
        <v>7987.76</v>
      </c>
      <c r="Q111" s="260">
        <v>0</v>
      </c>
      <c r="R111" s="170">
        <f>O111/10/30586</f>
        <v>2.6115739227097368E-2</v>
      </c>
      <c r="S111" s="165" t="e">
        <f>U111+#REF!</f>
        <v>#REF!</v>
      </c>
      <c r="T111" s="165" t="e">
        <f>U111+#REF!</f>
        <v>#REF!</v>
      </c>
      <c r="U111" s="198">
        <v>9585.31</v>
      </c>
      <c r="V111" s="1215">
        <f>W111+X111</f>
        <v>119000</v>
      </c>
      <c r="W111" s="225">
        <f>W112+W113+W114</f>
        <v>59500</v>
      </c>
      <c r="X111" s="225">
        <f>X112+X113+X114</f>
        <v>59500</v>
      </c>
      <c r="Y111" s="261"/>
      <c r="Z111" s="896"/>
      <c r="AA111" s="35"/>
      <c r="AB111" s="262"/>
      <c r="AC111" s="838"/>
      <c r="AD111" s="838"/>
      <c r="AE111" s="838"/>
      <c r="AF111" s="838"/>
      <c r="AG111" s="35"/>
      <c r="AH111" s="35"/>
      <c r="AI111" s="35"/>
      <c r="AJ111" s="35"/>
      <c r="AK111" s="838"/>
      <c r="AL111" s="838"/>
      <c r="AM111" s="838"/>
      <c r="AN111" s="838"/>
      <c r="AO111" s="838"/>
      <c r="AP111" s="838"/>
      <c r="AQ111" s="838"/>
      <c r="AR111" s="838"/>
      <c r="AS111" s="838"/>
      <c r="AT111" s="838"/>
    </row>
    <row r="112" spans="1:46" ht="15.5" x14ac:dyDescent="0.35">
      <c r="A112" s="865"/>
      <c r="B112" s="1834" t="s">
        <v>417</v>
      </c>
      <c r="C112" s="1813"/>
      <c r="D112" s="1813"/>
      <c r="E112" s="1813"/>
      <c r="F112" s="1813"/>
      <c r="G112" s="1813"/>
      <c r="H112" s="1813"/>
      <c r="I112" s="1813"/>
      <c r="J112" s="1814"/>
      <c r="K112" s="873"/>
      <c r="L112" s="165"/>
      <c r="M112" s="257"/>
      <c r="N112" s="258"/>
      <c r="O112" s="259"/>
      <c r="P112" s="260"/>
      <c r="Q112" s="260"/>
      <c r="R112" s="170"/>
      <c r="S112" s="165"/>
      <c r="T112" s="165"/>
      <c r="U112" s="198"/>
      <c r="V112" s="1216">
        <f>W112+X112</f>
        <v>49000</v>
      </c>
      <c r="W112" s="1006">
        <v>24500</v>
      </c>
      <c r="X112" s="1006">
        <v>24500</v>
      </c>
      <c r="Y112" s="261"/>
      <c r="Z112" s="896"/>
      <c r="AA112" s="35"/>
      <c r="AB112" s="262"/>
      <c r="AC112" s="838"/>
      <c r="AD112" s="838"/>
      <c r="AE112" s="838"/>
      <c r="AF112" s="838"/>
      <c r="AG112" s="35"/>
      <c r="AH112" s="35"/>
      <c r="AI112" s="35"/>
      <c r="AJ112" s="35"/>
      <c r="AK112" s="838"/>
      <c r="AL112" s="838"/>
      <c r="AM112" s="838"/>
      <c r="AN112" s="838"/>
      <c r="AO112" s="838"/>
      <c r="AP112" s="838"/>
      <c r="AQ112" s="838"/>
      <c r="AR112" s="838"/>
      <c r="AS112" s="838"/>
      <c r="AT112" s="838"/>
    </row>
    <row r="113" spans="1:46" ht="15.5" x14ac:dyDescent="0.35">
      <c r="A113" s="865"/>
      <c r="B113" s="1834" t="s">
        <v>418</v>
      </c>
      <c r="C113" s="1813"/>
      <c r="D113" s="1813"/>
      <c r="E113" s="1813"/>
      <c r="F113" s="1813"/>
      <c r="G113" s="1813"/>
      <c r="H113" s="1813"/>
      <c r="I113" s="1813"/>
      <c r="J113" s="1814"/>
      <c r="K113" s="873"/>
      <c r="L113" s="165"/>
      <c r="M113" s="257"/>
      <c r="N113" s="258"/>
      <c r="O113" s="259"/>
      <c r="P113" s="260"/>
      <c r="Q113" s="260"/>
      <c r="R113" s="170"/>
      <c r="S113" s="165"/>
      <c r="T113" s="165"/>
      <c r="U113" s="198"/>
      <c r="V113" s="1216">
        <f>W113+X113</f>
        <v>30000</v>
      </c>
      <c r="W113" s="1006">
        <v>15000</v>
      </c>
      <c r="X113" s="1006">
        <v>15000</v>
      </c>
      <c r="Y113" s="261"/>
      <c r="Z113" s="896"/>
      <c r="AA113" s="35"/>
      <c r="AB113" s="262"/>
      <c r="AC113" s="838"/>
      <c r="AD113" s="838"/>
      <c r="AE113" s="838"/>
      <c r="AF113" s="838"/>
      <c r="AG113" s="35"/>
      <c r="AH113" s="35"/>
      <c r="AI113" s="35"/>
      <c r="AJ113" s="35"/>
      <c r="AK113" s="838"/>
      <c r="AL113" s="838"/>
      <c r="AM113" s="838"/>
      <c r="AN113" s="838"/>
      <c r="AO113" s="838"/>
      <c r="AP113" s="838"/>
      <c r="AQ113" s="838"/>
      <c r="AR113" s="838"/>
      <c r="AS113" s="838"/>
      <c r="AT113" s="838"/>
    </row>
    <row r="114" spans="1:46" ht="15.5" x14ac:dyDescent="0.35">
      <c r="A114" s="865"/>
      <c r="B114" s="1834" t="s">
        <v>402</v>
      </c>
      <c r="C114" s="1813"/>
      <c r="D114" s="1813"/>
      <c r="E114" s="1813"/>
      <c r="F114" s="1813"/>
      <c r="G114" s="1813"/>
      <c r="H114" s="1813"/>
      <c r="I114" s="1813"/>
      <c r="J114" s="1814"/>
      <c r="K114" s="873"/>
      <c r="L114" s="165"/>
      <c r="M114" s="257"/>
      <c r="N114" s="258"/>
      <c r="O114" s="259"/>
      <c r="P114" s="260"/>
      <c r="Q114" s="260"/>
      <c r="R114" s="170"/>
      <c r="S114" s="165"/>
      <c r="T114" s="165"/>
      <c r="U114" s="198"/>
      <c r="V114" s="1559">
        <f>W114+X114</f>
        <v>40000</v>
      </c>
      <c r="W114" s="1560">
        <v>20000</v>
      </c>
      <c r="X114" s="1560">
        <v>20000</v>
      </c>
      <c r="Y114" s="261"/>
      <c r="Z114" s="896"/>
      <c r="AA114" s="35"/>
      <c r="AB114" s="262"/>
      <c r="AC114" s="838"/>
      <c r="AD114" s="838"/>
      <c r="AE114" s="838"/>
      <c r="AF114" s="838"/>
      <c r="AG114" s="35"/>
      <c r="AH114" s="35"/>
      <c r="AI114" s="35"/>
      <c r="AJ114" s="35"/>
      <c r="AK114" s="838"/>
      <c r="AL114" s="838"/>
      <c r="AM114" s="838"/>
      <c r="AN114" s="838"/>
      <c r="AO114" s="838"/>
      <c r="AP114" s="838"/>
      <c r="AQ114" s="838"/>
      <c r="AR114" s="838"/>
      <c r="AS114" s="838"/>
      <c r="AT114" s="838"/>
    </row>
    <row r="115" spans="1:46" ht="13.5" thickBot="1" x14ac:dyDescent="0.35">
      <c r="A115" s="865"/>
      <c r="B115" s="914" t="s">
        <v>74</v>
      </c>
      <c r="C115" s="915"/>
      <c r="D115" s="915"/>
      <c r="E115" s="915"/>
      <c r="F115" s="915"/>
      <c r="G115" s="915"/>
      <c r="H115" s="915"/>
      <c r="I115" s="915"/>
      <c r="J115" s="919"/>
      <c r="K115" s="263"/>
      <c r="L115" s="165">
        <v>10000</v>
      </c>
      <c r="M115" s="198"/>
      <c r="N115" s="264"/>
      <c r="O115" s="165">
        <f t="shared" si="4"/>
        <v>14509</v>
      </c>
      <c r="P115" s="198">
        <f>2254.5+5000</f>
        <v>7254.5</v>
      </c>
      <c r="Q115" s="241">
        <f>2254.5+5000</f>
        <v>7254.5</v>
      </c>
      <c r="R115" s="170">
        <f>O115/10/30586</f>
        <v>4.7436735761459493E-2</v>
      </c>
      <c r="S115" s="165" t="e">
        <f>U115+#REF!</f>
        <v>#REF!</v>
      </c>
      <c r="T115" s="265" t="e">
        <f>U115+#REF!</f>
        <v>#REF!</v>
      </c>
      <c r="U115" s="241">
        <v>8705.4</v>
      </c>
      <c r="V115" s="925">
        <f>W115+X115</f>
        <v>6000</v>
      </c>
      <c r="W115" s="908">
        <v>3000</v>
      </c>
      <c r="X115" s="908">
        <v>3000</v>
      </c>
      <c r="Y115" s="200"/>
      <c r="Z115" s="63"/>
      <c r="AA115" s="35"/>
      <c r="AB115" s="262"/>
      <c r="AC115" s="838"/>
      <c r="AD115" s="838"/>
      <c r="AE115" s="838"/>
      <c r="AF115" s="838"/>
      <c r="AG115" s="278"/>
      <c r="AH115" s="838"/>
      <c r="AI115" s="838"/>
      <c r="AJ115" s="838"/>
      <c r="AK115" s="838"/>
      <c r="AL115" s="838"/>
      <c r="AM115" s="838"/>
      <c r="AN115" s="838"/>
      <c r="AO115" s="838"/>
      <c r="AP115" s="838"/>
      <c r="AQ115" s="838"/>
      <c r="AR115" s="838"/>
      <c r="AS115" s="838"/>
      <c r="AT115" s="838"/>
    </row>
    <row r="116" spans="1:46" ht="13" x14ac:dyDescent="0.3">
      <c r="A116" s="23"/>
      <c r="B116" s="923" t="s">
        <v>75</v>
      </c>
      <c r="C116" s="841"/>
      <c r="D116" s="849"/>
      <c r="E116" s="841"/>
      <c r="F116" s="841"/>
      <c r="G116" s="841"/>
      <c r="H116" s="841"/>
      <c r="I116" s="841"/>
      <c r="J116" s="880"/>
      <c r="K116" s="266"/>
      <c r="L116" s="224">
        <f>M116+N116</f>
        <v>1100420</v>
      </c>
      <c r="M116" s="227">
        <f>M117+M119+M120+M121</f>
        <v>518542</v>
      </c>
      <c r="N116" s="227">
        <f>N117+N119+N120+N121</f>
        <v>581878</v>
      </c>
      <c r="O116" s="224">
        <f t="shared" si="4"/>
        <v>931928.81</v>
      </c>
      <c r="P116" s="227">
        <f>P117+P119+P120+P121</f>
        <v>444967.34</v>
      </c>
      <c r="Q116" s="227">
        <f>Q117+Q119+Q120+Q121</f>
        <v>486961.47</v>
      </c>
      <c r="R116" s="226">
        <f>R117+R119+R120+R121</f>
        <v>3.0469129994114956</v>
      </c>
      <c r="S116" s="224" t="e">
        <f>U116+#REF!</f>
        <v>#REF!</v>
      </c>
      <c r="T116" s="224" t="e">
        <f>U116+#REF!</f>
        <v>#REF!</v>
      </c>
      <c r="U116" s="227">
        <f>U117+U119+U120+U121</f>
        <v>534814</v>
      </c>
      <c r="V116" s="846">
        <f>V117+V119+V120+V121+V118</f>
        <v>1163420</v>
      </c>
      <c r="W116" s="846">
        <f>W117+W119+W120+W121+W118</f>
        <v>550042</v>
      </c>
      <c r="X116" s="846">
        <f>X117+X119+X120+X121+X118</f>
        <v>613378</v>
      </c>
      <c r="Y116" s="267"/>
      <c r="Z116" s="268"/>
      <c r="AA116" s="1000"/>
      <c r="AB116" s="838"/>
      <c r="AC116" s="838"/>
      <c r="AD116" s="838"/>
      <c r="AE116" s="838"/>
      <c r="AF116" s="838"/>
      <c r="AG116" s="35"/>
      <c r="AH116" s="308"/>
      <c r="AI116" s="838"/>
      <c r="AJ116" s="838"/>
      <c r="AK116" s="838"/>
      <c r="AL116" s="838"/>
      <c r="AM116" s="838"/>
      <c r="AN116" s="838"/>
      <c r="AO116" s="838"/>
      <c r="AP116" s="838"/>
      <c r="AQ116" s="838"/>
      <c r="AR116" s="838"/>
      <c r="AS116" s="838"/>
      <c r="AT116" s="838"/>
    </row>
    <row r="117" spans="1:46" ht="13" x14ac:dyDescent="0.3">
      <c r="A117" s="920"/>
      <c r="B117" s="853" t="s">
        <v>76</v>
      </c>
      <c r="C117" s="842"/>
      <c r="D117" s="842"/>
      <c r="E117" s="842"/>
      <c r="F117" s="847"/>
      <c r="G117" s="842"/>
      <c r="H117" s="842"/>
      <c r="I117" s="842"/>
      <c r="J117" s="864"/>
      <c r="K117" s="269"/>
      <c r="L117" s="165">
        <f>M117+N117</f>
        <v>662376</v>
      </c>
      <c r="M117" s="270">
        <v>331188</v>
      </c>
      <c r="N117" s="270">
        <v>331188</v>
      </c>
      <c r="O117" s="165">
        <f t="shared" si="4"/>
        <v>577079</v>
      </c>
      <c r="P117" s="270">
        <f>275990+3850+25+10000</f>
        <v>289865</v>
      </c>
      <c r="Q117" s="270">
        <f>275990+3850+7349+25</f>
        <v>287214</v>
      </c>
      <c r="R117" s="170">
        <f>O117/10/30586</f>
        <v>1.8867423003988752</v>
      </c>
      <c r="S117" s="165" t="e">
        <f>U117+#REF!</f>
        <v>#REF!</v>
      </c>
      <c r="T117" s="165" t="e">
        <f>U117+#REF!</f>
        <v>#REF!</v>
      </c>
      <c r="U117" s="270">
        <f>331188+16632</f>
        <v>347820</v>
      </c>
      <c r="V117" s="1157">
        <f>W117+X117</f>
        <v>662376</v>
      </c>
      <c r="W117" s="313">
        <v>331188</v>
      </c>
      <c r="X117" s="834">
        <v>331188</v>
      </c>
      <c r="Y117" s="271"/>
      <c r="Z117" s="1827"/>
      <c r="AA117" s="1805"/>
      <c r="AB117" s="1805"/>
      <c r="AC117" s="1805"/>
      <c r="AD117" s="1805"/>
      <c r="AE117" s="1805"/>
      <c r="AF117" s="1805"/>
      <c r="AG117" s="1805"/>
      <c r="AH117" s="1805"/>
      <c r="AI117" s="1805"/>
      <c r="AJ117" s="1805"/>
      <c r="AK117" s="838"/>
      <c r="AL117" s="838"/>
      <c r="AM117" s="838"/>
      <c r="AN117" s="838"/>
      <c r="AO117" s="838"/>
      <c r="AP117" s="838"/>
      <c r="AQ117" s="838"/>
      <c r="AR117" s="838"/>
      <c r="AS117" s="838"/>
      <c r="AT117" s="838"/>
    </row>
    <row r="118" spans="1:46" ht="13" x14ac:dyDescent="0.3">
      <c r="A118" s="921"/>
      <c r="B118" s="891" t="s">
        <v>77</v>
      </c>
      <c r="C118" s="896"/>
      <c r="D118" s="896"/>
      <c r="E118" s="842"/>
      <c r="F118" s="847"/>
      <c r="G118" s="842"/>
      <c r="H118" s="842"/>
      <c r="I118" s="842"/>
      <c r="J118" s="864"/>
      <c r="K118" s="269"/>
      <c r="L118" s="165"/>
      <c r="M118" s="270"/>
      <c r="N118" s="270"/>
      <c r="O118" s="165"/>
      <c r="P118" s="270"/>
      <c r="Q118" s="270"/>
      <c r="R118" s="170"/>
      <c r="S118" s="165"/>
      <c r="T118" s="165"/>
      <c r="U118" s="270"/>
      <c r="V118" s="1157">
        <f>W118+X118</f>
        <v>100000</v>
      </c>
      <c r="W118" s="313">
        <v>50000</v>
      </c>
      <c r="X118" s="1225">
        <v>50000</v>
      </c>
      <c r="Y118" s="272">
        <v>83264</v>
      </c>
      <c r="Z118" s="1828"/>
      <c r="AA118" s="1829"/>
      <c r="AB118" s="1829"/>
      <c r="AC118" s="1829"/>
      <c r="AD118" s="1829"/>
      <c r="AE118" s="1829"/>
      <c r="AF118" s="1829"/>
      <c r="AG118" s="1829"/>
      <c r="AH118" s="1829"/>
      <c r="AI118" s="1829"/>
      <c r="AJ118" s="1829"/>
      <c r="AK118" s="838"/>
      <c r="AL118" s="838"/>
      <c r="AM118" s="838"/>
      <c r="AN118" s="838"/>
      <c r="AO118" s="838"/>
      <c r="AP118" s="838"/>
      <c r="AQ118" s="838"/>
      <c r="AR118" s="838"/>
      <c r="AS118" s="838"/>
      <c r="AT118" s="838"/>
    </row>
    <row r="119" spans="1:46" ht="13" x14ac:dyDescent="0.3">
      <c r="A119" s="922"/>
      <c r="B119" s="865" t="s">
        <v>78</v>
      </c>
      <c r="C119" s="842"/>
      <c r="D119" s="842"/>
      <c r="E119" s="842"/>
      <c r="F119" s="842"/>
      <c r="G119" s="842"/>
      <c r="H119" s="842"/>
      <c r="I119" s="842"/>
      <c r="J119" s="864"/>
      <c r="K119" s="273"/>
      <c r="L119" s="165">
        <f>M119+N119</f>
        <v>356544</v>
      </c>
      <c r="M119" s="198">
        <v>146604</v>
      </c>
      <c r="N119" s="198">
        <v>209940</v>
      </c>
      <c r="O119" s="165">
        <f t="shared" si="4"/>
        <v>297120</v>
      </c>
      <c r="P119" s="198">
        <v>122170</v>
      </c>
      <c r="Q119" s="198">
        <v>174950</v>
      </c>
      <c r="R119" s="170">
        <f>O119/10/30586</f>
        <v>0.97142483489178055</v>
      </c>
      <c r="S119" s="165" t="e">
        <f>U119+#REF!</f>
        <v>#REF!</v>
      </c>
      <c r="T119" s="165" t="e">
        <f>U119+#REF!</f>
        <v>#REF!</v>
      </c>
      <c r="U119" s="198">
        <v>146604</v>
      </c>
      <c r="V119" s="903">
        <f>W119+X119</f>
        <v>356544</v>
      </c>
      <c r="W119" s="233">
        <v>146604</v>
      </c>
      <c r="X119" s="418">
        <v>209940</v>
      </c>
      <c r="Y119" s="275">
        <v>209940</v>
      </c>
      <c r="Z119" s="304"/>
      <c r="AA119" s="838"/>
      <c r="AB119" s="838"/>
      <c r="AC119" s="838"/>
      <c r="AD119" s="838"/>
      <c r="AE119" s="35"/>
      <c r="AF119" s="838"/>
      <c r="AG119" s="278"/>
      <c r="AH119" s="838"/>
      <c r="AI119" s="838"/>
      <c r="AJ119" s="838"/>
      <c r="AK119" s="838"/>
      <c r="AL119" s="838"/>
      <c r="AM119" s="838"/>
      <c r="AN119" s="838"/>
      <c r="AO119" s="838"/>
      <c r="AP119" s="838"/>
      <c r="AQ119" s="838"/>
      <c r="AR119" s="838"/>
      <c r="AS119" s="838"/>
      <c r="AT119" s="838"/>
    </row>
    <row r="120" spans="1:46" x14ac:dyDescent="0.25">
      <c r="A120" s="865"/>
      <c r="B120" s="853" t="s">
        <v>79</v>
      </c>
      <c r="C120" s="842"/>
      <c r="D120" s="842"/>
      <c r="E120" s="842"/>
      <c r="F120" s="842"/>
      <c r="G120" s="842"/>
      <c r="H120" s="842"/>
      <c r="I120" s="842"/>
      <c r="J120" s="864"/>
      <c r="K120" s="273"/>
      <c r="L120" s="165">
        <f>M120+N120</f>
        <v>63000</v>
      </c>
      <c r="M120" s="198">
        <v>31500</v>
      </c>
      <c r="N120" s="198">
        <v>31500</v>
      </c>
      <c r="O120" s="165">
        <f t="shared" si="4"/>
        <v>51429.81</v>
      </c>
      <c r="P120" s="198">
        <v>29782.34</v>
      </c>
      <c r="Q120" s="198">
        <f>5956.47+15691</f>
        <v>21647.47</v>
      </c>
      <c r="R120" s="170">
        <f>O120/10/30586</f>
        <v>0.16814820506113909</v>
      </c>
      <c r="S120" s="165" t="e">
        <f>U120+#REF!</f>
        <v>#REF!</v>
      </c>
      <c r="T120" s="165" t="e">
        <f>U120+#REF!</f>
        <v>#REF!</v>
      </c>
      <c r="U120" s="198">
        <v>35740</v>
      </c>
      <c r="V120" s="903">
        <f>W120+X120</f>
        <v>40000</v>
      </c>
      <c r="W120" s="241">
        <v>20000</v>
      </c>
      <c r="X120" s="274">
        <v>20000</v>
      </c>
      <c r="Y120" s="252">
        <v>26000</v>
      </c>
      <c r="Z120" s="277"/>
      <c r="AA120" s="838"/>
      <c r="AB120" s="838"/>
      <c r="AC120" s="838"/>
      <c r="AD120" s="838"/>
      <c r="AE120" s="35"/>
      <c r="AF120" s="838"/>
      <c r="AG120" s="278"/>
      <c r="AH120" s="838"/>
      <c r="AI120" s="838"/>
      <c r="AJ120" s="838"/>
      <c r="AK120" s="838"/>
      <c r="AL120" s="838"/>
      <c r="AM120" s="838"/>
      <c r="AN120" s="838"/>
      <c r="AO120" s="838"/>
      <c r="AP120" s="838"/>
      <c r="AQ120" s="838"/>
      <c r="AR120" s="838"/>
      <c r="AS120" s="838"/>
      <c r="AT120" s="838"/>
    </row>
    <row r="121" spans="1:46" ht="13" thickBot="1" x14ac:dyDescent="0.3">
      <c r="A121" s="862"/>
      <c r="B121" s="843" t="s">
        <v>80</v>
      </c>
      <c r="C121" s="844"/>
      <c r="D121" s="844"/>
      <c r="E121" s="844"/>
      <c r="F121" s="844"/>
      <c r="G121" s="844"/>
      <c r="H121" s="844"/>
      <c r="I121" s="844"/>
      <c r="J121" s="876"/>
      <c r="K121" s="280"/>
      <c r="L121" s="165">
        <f>M121+N121</f>
        <v>18500</v>
      </c>
      <c r="M121" s="198">
        <v>9250</v>
      </c>
      <c r="N121" s="198">
        <v>9250</v>
      </c>
      <c r="O121" s="165">
        <f t="shared" si="4"/>
        <v>6300</v>
      </c>
      <c r="P121" s="198">
        <v>3150</v>
      </c>
      <c r="Q121" s="198">
        <v>3150</v>
      </c>
      <c r="R121" s="170">
        <f>O121/10/30586</f>
        <v>2.0597659059700516E-2</v>
      </c>
      <c r="S121" s="165" t="e">
        <f>U121+#REF!</f>
        <v>#REF!</v>
      </c>
      <c r="T121" s="165" t="e">
        <f>U121+#REF!</f>
        <v>#REF!</v>
      </c>
      <c r="U121" s="198">
        <v>4650</v>
      </c>
      <c r="V121" s="925">
        <f>W121+X121</f>
        <v>4500</v>
      </c>
      <c r="W121" s="908">
        <v>2250</v>
      </c>
      <c r="X121" s="904">
        <v>2250</v>
      </c>
      <c r="Y121" s="252">
        <v>4500</v>
      </c>
      <c r="Z121" s="276"/>
      <c r="AA121" s="838"/>
      <c r="AB121" s="838"/>
      <c r="AC121" s="838"/>
      <c r="AD121" s="838"/>
      <c r="AE121" s="35"/>
      <c r="AF121" s="838"/>
      <c r="AG121" s="282"/>
      <c r="AH121" s="838"/>
      <c r="AI121" s="838"/>
      <c r="AJ121" s="838"/>
      <c r="AK121" s="838"/>
      <c r="AL121" s="838"/>
      <c r="AM121" s="838"/>
      <c r="AN121" s="838"/>
      <c r="AO121" s="838"/>
      <c r="AP121" s="838"/>
      <c r="AQ121" s="838"/>
      <c r="AR121" s="838"/>
      <c r="AS121" s="838"/>
      <c r="AT121" s="838"/>
    </row>
    <row r="122" spans="1:46" ht="13" hidden="1" thickBot="1" x14ac:dyDescent="0.3">
      <c r="A122" s="157"/>
      <c r="B122" s="158"/>
      <c r="C122" s="283"/>
      <c r="D122" s="283"/>
      <c r="E122" s="283"/>
      <c r="F122" s="283"/>
      <c r="G122" s="158"/>
      <c r="H122" s="158"/>
      <c r="I122" s="158"/>
      <c r="J122" s="158"/>
      <c r="K122" s="158"/>
      <c r="L122" s="161"/>
      <c r="M122" s="198"/>
      <c r="N122" s="198"/>
      <c r="O122" s="161"/>
      <c r="P122" s="198"/>
      <c r="Q122" s="198"/>
      <c r="R122" s="199"/>
      <c r="S122" s="161"/>
      <c r="T122" s="161"/>
      <c r="U122" s="198"/>
      <c r="V122" s="852"/>
      <c r="W122" s="285"/>
      <c r="X122" s="286"/>
      <c r="Y122" s="200"/>
      <c r="Z122" s="201"/>
      <c r="AA122" s="838"/>
      <c r="AB122" s="838"/>
      <c r="AC122" s="838"/>
      <c r="AD122" s="838"/>
      <c r="AE122" s="35"/>
      <c r="AF122" s="838"/>
      <c r="AG122" s="53"/>
      <c r="AH122" s="308"/>
      <c r="AI122" s="838"/>
      <c r="AJ122" s="838"/>
      <c r="AK122" s="838"/>
      <c r="AL122" s="838"/>
      <c r="AM122" s="838"/>
      <c r="AN122" s="838"/>
      <c r="AO122" s="838"/>
      <c r="AP122" s="838"/>
      <c r="AQ122" s="838"/>
      <c r="AR122" s="838"/>
      <c r="AS122" s="838"/>
      <c r="AT122" s="838"/>
    </row>
    <row r="123" spans="1:46" ht="13" x14ac:dyDescent="0.3">
      <c r="A123" s="287"/>
      <c r="B123" s="288" t="s">
        <v>81</v>
      </c>
      <c r="C123" s="289"/>
      <c r="D123" s="158"/>
      <c r="E123" s="289"/>
      <c r="F123" s="289"/>
      <c r="G123" s="290"/>
      <c r="H123" s="290"/>
      <c r="I123" s="290"/>
      <c r="J123" s="290"/>
      <c r="K123" s="290"/>
      <c r="L123" s="224">
        <f>M123+N123</f>
        <v>789480</v>
      </c>
      <c r="M123" s="227">
        <f>M124+M125+M126+M127+M128+M129+M130+M133</f>
        <v>391860</v>
      </c>
      <c r="N123" s="227">
        <f>N124+N125+N126+N127+N128+N129+N130+N133</f>
        <v>397620</v>
      </c>
      <c r="O123" s="224">
        <f>P123+Q123</f>
        <v>789207.86</v>
      </c>
      <c r="P123" s="227">
        <f>P124+P125+P126+P127+P128+P129+P130+P131+P132+P133</f>
        <v>471926.57</v>
      </c>
      <c r="Q123" s="227">
        <f>Q124+Q125+Q126+Q127+Q128+Q129+Q130+Q131+Q132+Q133</f>
        <v>317281.28999999998</v>
      </c>
      <c r="R123" s="291">
        <f>R124+R125+R126+R127+R128+R129+R130+R131+R132+R133</f>
        <v>2.5492312168966196</v>
      </c>
      <c r="S123" s="224" t="e">
        <f>U123+#REF!</f>
        <v>#REF!</v>
      </c>
      <c r="T123" s="224" t="e">
        <f>U123+#REF!</f>
        <v>#REF!</v>
      </c>
      <c r="U123" s="292">
        <f>U124+U125+U126+U127+U128+U129+U130+U131+U132+U133</f>
        <v>520780</v>
      </c>
      <c r="V123" s="293">
        <f>V124+V125+V126+V127+V129+V131+V132+V133</f>
        <v>859740</v>
      </c>
      <c r="W123" s="293">
        <f>W124+W125+W126+W127+W129+W131+W132+W133</f>
        <v>422620</v>
      </c>
      <c r="X123" s="293">
        <f>X124+X125+X126+X127+X129+X131+X132+X133</f>
        <v>437120</v>
      </c>
      <c r="Y123" s="267"/>
      <c r="Z123" s="268"/>
      <c r="AA123" s="838"/>
      <c r="AB123" s="877"/>
      <c r="AC123" s="838"/>
      <c r="AD123" s="838"/>
      <c r="AE123" s="35"/>
      <c r="AF123" s="838"/>
      <c r="AG123" s="838"/>
      <c r="AH123" s="860"/>
      <c r="AI123" s="838"/>
      <c r="AJ123" s="838"/>
      <c r="AK123" s="838"/>
      <c r="AL123" s="838"/>
      <c r="AM123" s="838"/>
      <c r="AN123" s="838"/>
      <c r="AO123" s="838"/>
      <c r="AP123" s="838"/>
      <c r="AQ123" s="838"/>
      <c r="AR123" s="838"/>
      <c r="AS123" s="838"/>
      <c r="AT123" s="838"/>
    </row>
    <row r="124" spans="1:46" ht="13" x14ac:dyDescent="0.3">
      <c r="A124" s="157"/>
      <c r="B124" s="158" t="s">
        <v>82</v>
      </c>
      <c r="C124" s="158"/>
      <c r="D124" s="158"/>
      <c r="E124" s="158"/>
      <c r="F124" s="158"/>
      <c r="G124" s="158"/>
      <c r="H124" s="158"/>
      <c r="I124" s="158"/>
      <c r="J124" s="147"/>
      <c r="K124" s="147"/>
      <c r="L124" s="165">
        <v>336000</v>
      </c>
      <c r="M124" s="198">
        <v>168000</v>
      </c>
      <c r="N124" s="198">
        <v>168000</v>
      </c>
      <c r="O124" s="165">
        <f>P124+Q124</f>
        <v>275500</v>
      </c>
      <c r="P124" s="198">
        <f>100000+36000+3500</f>
        <v>139500</v>
      </c>
      <c r="Q124" s="198">
        <f>100000+36000</f>
        <v>136000</v>
      </c>
      <c r="R124" s="170">
        <f>O124/10/30586</f>
        <v>0.90073890015039559</v>
      </c>
      <c r="S124" s="165">
        <v>0</v>
      </c>
      <c r="T124" s="165" t="e">
        <f>U124+#REF!</f>
        <v>#REF!</v>
      </c>
      <c r="U124" s="294">
        <f>120000+43200+4200</f>
        <v>167400</v>
      </c>
      <c r="V124" s="903">
        <f>W124+X124</f>
        <v>336000</v>
      </c>
      <c r="W124" s="899">
        <v>168000</v>
      </c>
      <c r="X124" s="901">
        <v>168000</v>
      </c>
      <c r="Y124" s="275">
        <v>168000</v>
      </c>
      <c r="Z124" s="1075"/>
      <c r="AA124" s="838"/>
      <c r="AB124" s="838"/>
      <c r="AC124" s="838"/>
      <c r="AD124" s="838"/>
      <c r="AE124" s="838"/>
      <c r="AF124" s="838"/>
      <c r="AG124" s="838"/>
      <c r="AH124" s="838"/>
      <c r="AI124" s="838"/>
      <c r="AJ124" s="838"/>
      <c r="AK124" s="838"/>
      <c r="AL124" s="838"/>
      <c r="AM124" s="838"/>
      <c r="AN124" s="838"/>
      <c r="AO124" s="838"/>
      <c r="AP124" s="838"/>
      <c r="AQ124" s="838"/>
      <c r="AR124" s="838"/>
      <c r="AS124" s="838"/>
      <c r="AT124" s="838"/>
    </row>
    <row r="125" spans="1:46" ht="13" x14ac:dyDescent="0.3">
      <c r="A125" s="157"/>
      <c r="B125" s="158" t="s">
        <v>83</v>
      </c>
      <c r="C125" s="158"/>
      <c r="D125" s="158"/>
      <c r="E125" s="158"/>
      <c r="F125" s="158"/>
      <c r="G125" s="158"/>
      <c r="H125" s="158"/>
      <c r="I125" s="158"/>
      <c r="J125" s="158"/>
      <c r="K125" s="147"/>
      <c r="L125" s="165">
        <f t="shared" ref="L125:L130" si="5">M125+N125</f>
        <v>330240</v>
      </c>
      <c r="M125" s="270">
        <v>165120</v>
      </c>
      <c r="N125" s="198">
        <v>165120</v>
      </c>
      <c r="O125" s="165">
        <f t="shared" ref="O125:O140" si="6">P125+Q125</f>
        <v>275200</v>
      </c>
      <c r="P125" s="270">
        <v>137600</v>
      </c>
      <c r="Q125" s="198">
        <v>137600</v>
      </c>
      <c r="R125" s="170">
        <f>O125/10/30586</f>
        <v>0.89975805924279084</v>
      </c>
      <c r="S125" s="165" t="e">
        <f>U125+#REF!</f>
        <v>#REF!</v>
      </c>
      <c r="T125" s="165" t="e">
        <f>U125+#REF!</f>
        <v>#REF!</v>
      </c>
      <c r="U125" s="295">
        <v>165120</v>
      </c>
      <c r="V125" s="903">
        <f>W125+X125</f>
        <v>330240</v>
      </c>
      <c r="W125" s="834">
        <v>165120</v>
      </c>
      <c r="X125" s="901">
        <v>165120</v>
      </c>
      <c r="Y125" s="252">
        <v>165120</v>
      </c>
      <c r="Z125" s="1075"/>
      <c r="AA125" s="1075"/>
      <c r="AB125" s="838"/>
      <c r="AC125" s="838"/>
      <c r="AD125" s="838"/>
      <c r="AE125" s="838"/>
      <c r="AF125" s="838"/>
      <c r="AG125" s="838"/>
      <c r="AH125" s="838"/>
      <c r="AI125" s="838"/>
      <c r="AJ125" s="838"/>
      <c r="AK125" s="838"/>
      <c r="AL125" s="838"/>
      <c r="AM125" s="838"/>
      <c r="AN125" s="838"/>
      <c r="AO125" s="838"/>
      <c r="AP125" s="838"/>
      <c r="AQ125" s="838"/>
      <c r="AR125" s="838"/>
      <c r="AS125" s="838"/>
      <c r="AT125" s="838"/>
    </row>
    <row r="126" spans="1:46" ht="13" x14ac:dyDescent="0.3">
      <c r="A126" s="117"/>
      <c r="B126" s="33" t="s">
        <v>84</v>
      </c>
      <c r="C126" s="158"/>
      <c r="D126" s="158"/>
      <c r="E126" s="158"/>
      <c r="F126" s="158"/>
      <c r="G126" s="158"/>
      <c r="H126" s="158"/>
      <c r="I126" s="1685"/>
      <c r="J126" s="1686"/>
      <c r="K126" s="296"/>
      <c r="L126" s="235">
        <f t="shared" si="5"/>
        <v>78240</v>
      </c>
      <c r="M126" s="233">
        <v>36240</v>
      </c>
      <c r="N126" s="233">
        <v>42000</v>
      </c>
      <c r="O126" s="235">
        <f t="shared" si="6"/>
        <v>57000</v>
      </c>
      <c r="P126" s="233">
        <v>57000</v>
      </c>
      <c r="Q126" s="233">
        <v>0</v>
      </c>
      <c r="R126" s="297">
        <f>O126/12/30586</f>
        <v>0.15529981037075785</v>
      </c>
      <c r="S126" s="235" t="e">
        <f>U126+#REF!</f>
        <v>#REF!</v>
      </c>
      <c r="T126" s="235" t="e">
        <f>U126+#REF!</f>
        <v>#REF!</v>
      </c>
      <c r="U126" s="298">
        <v>68400</v>
      </c>
      <c r="V126" s="903">
        <f>W126+X126</f>
        <v>126500</v>
      </c>
      <c r="W126" s="1561">
        <v>61500</v>
      </c>
      <c r="X126" s="418">
        <v>65000</v>
      </c>
      <c r="Y126" s="252">
        <v>71500</v>
      </c>
      <c r="Z126" s="1075"/>
      <c r="AA126" s="1075"/>
      <c r="AC126" s="838"/>
      <c r="AD126" s="838"/>
      <c r="AE126" s="838"/>
      <c r="AF126" s="838"/>
      <c r="AG126" s="838"/>
      <c r="AH126" s="838"/>
      <c r="AI126" s="838"/>
      <c r="AJ126" s="838"/>
      <c r="AK126" s="842"/>
      <c r="AL126" s="35"/>
      <c r="AM126" s="838"/>
      <c r="AN126" s="838"/>
      <c r="AO126" s="838"/>
      <c r="AP126" s="838"/>
      <c r="AQ126" s="838"/>
      <c r="AR126" s="838"/>
      <c r="AS126" s="838"/>
      <c r="AT126" s="838"/>
    </row>
    <row r="127" spans="1:46" x14ac:dyDescent="0.25">
      <c r="A127" s="157"/>
      <c r="B127" s="158" t="s">
        <v>85</v>
      </c>
      <c r="C127" s="158"/>
      <c r="D127" s="158"/>
      <c r="E127" s="158"/>
      <c r="F127" s="158"/>
      <c r="G127" s="158"/>
      <c r="H127" s="158"/>
      <c r="I127" s="158"/>
      <c r="J127" s="158"/>
      <c r="K127" s="158"/>
      <c r="L127" s="165">
        <f t="shared" si="5"/>
        <v>0</v>
      </c>
      <c r="M127" s="198"/>
      <c r="N127" s="198"/>
      <c r="O127" s="165">
        <f t="shared" si="6"/>
        <v>0</v>
      </c>
      <c r="P127" s="198"/>
      <c r="Q127" s="198"/>
      <c r="R127" s="170">
        <f t="shared" ref="R127:R133" si="7">O127/10/30586</f>
        <v>0</v>
      </c>
      <c r="S127" s="165" t="e">
        <f>U127+#REF!</f>
        <v>#REF!</v>
      </c>
      <c r="T127" s="165" t="e">
        <f>U127+#REF!</f>
        <v>#REF!</v>
      </c>
      <c r="U127" s="294"/>
      <c r="V127" s="903">
        <v>0</v>
      </c>
      <c r="W127" s="899">
        <v>0</v>
      </c>
      <c r="X127" s="901">
        <v>0</v>
      </c>
      <c r="Y127" s="252">
        <v>35000</v>
      </c>
      <c r="Z127" s="276"/>
      <c r="AA127" s="838"/>
      <c r="AB127" s="838"/>
      <c r="AC127" s="838"/>
      <c r="AD127" s="838"/>
      <c r="AE127" s="838"/>
      <c r="AF127" s="838"/>
      <c r="AG127" s="838"/>
      <c r="AH127" s="838"/>
      <c r="AI127" s="838"/>
      <c r="AJ127" s="838"/>
      <c r="AK127" s="838"/>
      <c r="AL127" s="838"/>
      <c r="AM127" s="838"/>
      <c r="AN127" s="838"/>
      <c r="AO127" s="838"/>
      <c r="AP127" s="838"/>
      <c r="AQ127" s="838"/>
      <c r="AR127" s="838"/>
      <c r="AS127" s="838"/>
      <c r="AT127" s="838"/>
    </row>
    <row r="128" spans="1:46" ht="13" x14ac:dyDescent="0.3">
      <c r="A128" s="157"/>
      <c r="B128" s="63" t="s">
        <v>86</v>
      </c>
      <c r="C128" s="148"/>
      <c r="D128" s="148"/>
      <c r="E128" s="148"/>
      <c r="F128" s="158"/>
      <c r="G128" s="158"/>
      <c r="H128" s="158"/>
      <c r="I128" s="158"/>
      <c r="J128" s="158"/>
      <c r="K128" s="158"/>
      <c r="L128" s="165">
        <f t="shared" si="5"/>
        <v>0</v>
      </c>
      <c r="M128" s="198"/>
      <c r="N128" s="198"/>
      <c r="O128" s="165">
        <f t="shared" si="6"/>
        <v>64220</v>
      </c>
      <c r="P128" s="198">
        <v>64220</v>
      </c>
      <c r="Q128" s="198"/>
      <c r="R128" s="170">
        <f t="shared" si="7"/>
        <v>0.20996534362126462</v>
      </c>
      <c r="S128" s="165" t="e">
        <f>U128+#REF!</f>
        <v>#REF!</v>
      </c>
      <c r="T128" s="165">
        <v>64220</v>
      </c>
      <c r="U128" s="294">
        <v>32110</v>
      </c>
      <c r="V128" s="875"/>
      <c r="W128" s="899"/>
      <c r="X128" s="899"/>
      <c r="Y128" s="299"/>
      <c r="Z128" s="1075"/>
      <c r="AA128" s="593"/>
      <c r="AB128" s="877"/>
      <c r="AC128" s="838"/>
      <c r="AD128" s="838"/>
      <c r="AE128" s="838"/>
      <c r="AF128" s="838"/>
      <c r="AG128" s="838"/>
      <c r="AH128" s="838"/>
      <c r="AI128" s="838"/>
      <c r="AJ128" s="838"/>
      <c r="AK128" s="838"/>
      <c r="AL128" s="838"/>
      <c r="AM128" s="838"/>
      <c r="AN128" s="838"/>
      <c r="AO128" s="838"/>
      <c r="AP128" s="838"/>
      <c r="AQ128" s="838"/>
      <c r="AR128" s="838"/>
      <c r="AS128" s="838"/>
      <c r="AT128" s="838"/>
    </row>
    <row r="129" spans="1:46" ht="13" x14ac:dyDescent="0.3">
      <c r="A129" s="157"/>
      <c r="B129" s="158" t="s">
        <v>87</v>
      </c>
      <c r="C129" s="158"/>
      <c r="D129" s="158"/>
      <c r="E129" s="158"/>
      <c r="F129" s="158"/>
      <c r="G129" s="158"/>
      <c r="H129" s="158"/>
      <c r="I129" s="158"/>
      <c r="J129" s="158"/>
      <c r="K129" s="33" t="s">
        <v>88</v>
      </c>
      <c r="L129" s="165">
        <f t="shared" si="5"/>
        <v>0</v>
      </c>
      <c r="M129" s="198"/>
      <c r="N129" s="233"/>
      <c r="O129" s="165">
        <f t="shared" si="6"/>
        <v>750</v>
      </c>
      <c r="P129" s="198"/>
      <c r="Q129" s="198">
        <v>750</v>
      </c>
      <c r="R129" s="170">
        <f t="shared" si="7"/>
        <v>2.4521022690119662E-3</v>
      </c>
      <c r="S129" s="165" t="e">
        <f>U129+#REF!</f>
        <v>#REF!</v>
      </c>
      <c r="T129" s="165" t="e">
        <f>U129+#REF!</f>
        <v>#REF!</v>
      </c>
      <c r="U129" s="294"/>
      <c r="V129" s="903">
        <v>0</v>
      </c>
      <c r="W129" s="899">
        <v>0</v>
      </c>
      <c r="X129" s="902">
        <v>0</v>
      </c>
      <c r="Y129" s="200"/>
      <c r="Z129" s="1075"/>
      <c r="AA129" s="1075"/>
      <c r="AB129" s="838"/>
      <c r="AC129" s="838"/>
      <c r="AD129" s="838"/>
      <c r="AE129" s="838"/>
      <c r="AF129" s="838"/>
      <c r="AG129" s="838"/>
      <c r="AH129" s="838"/>
      <c r="AI129" s="838"/>
      <c r="AJ129" s="838"/>
      <c r="AK129" s="838"/>
      <c r="AL129" s="838"/>
      <c r="AM129" s="838"/>
      <c r="AN129" s="838"/>
      <c r="AO129" s="838"/>
      <c r="AP129" s="838"/>
      <c r="AQ129" s="838"/>
      <c r="AR129" s="838"/>
      <c r="AS129" s="838"/>
      <c r="AT129" s="838"/>
    </row>
    <row r="130" spans="1:46" ht="13" x14ac:dyDescent="0.3">
      <c r="A130" s="157"/>
      <c r="B130" s="158" t="s">
        <v>89</v>
      </c>
      <c r="C130" s="158"/>
      <c r="D130" s="158"/>
      <c r="E130" s="158"/>
      <c r="F130" s="158"/>
      <c r="G130" s="158"/>
      <c r="H130" s="158"/>
      <c r="I130" s="158"/>
      <c r="J130" s="158"/>
      <c r="K130" s="158"/>
      <c r="L130" s="165">
        <f t="shared" si="5"/>
        <v>0</v>
      </c>
      <c r="M130" s="198"/>
      <c r="N130" s="198"/>
      <c r="O130" s="165">
        <f t="shared" si="6"/>
        <v>0</v>
      </c>
      <c r="P130" s="198"/>
      <c r="Q130" s="198"/>
      <c r="R130" s="170">
        <f t="shared" si="7"/>
        <v>0</v>
      </c>
      <c r="S130" s="165" t="e">
        <f>U130+#REF!</f>
        <v>#REF!</v>
      </c>
      <c r="T130" s="165" t="e">
        <f>U130+#REF!</f>
        <v>#REF!</v>
      </c>
      <c r="U130" s="294"/>
      <c r="V130" s="901">
        <v>0</v>
      </c>
      <c r="W130" s="899">
        <v>0</v>
      </c>
      <c r="X130" s="902">
        <v>0</v>
      </c>
      <c r="Y130" s="200"/>
      <c r="Z130" s="1075"/>
      <c r="AA130" s="1075"/>
      <c r="AB130" s="838"/>
      <c r="AC130" s="838"/>
      <c r="AD130" s="838"/>
      <c r="AE130" s="838"/>
      <c r="AF130" s="838"/>
      <c r="AG130" s="838"/>
      <c r="AH130" s="35"/>
      <c r="AI130" s="842"/>
      <c r="AJ130" s="838"/>
      <c r="AK130" s="838"/>
      <c r="AL130" s="838"/>
      <c r="AM130" s="838"/>
      <c r="AN130" s="838"/>
      <c r="AO130" s="838"/>
      <c r="AP130" s="838"/>
      <c r="AQ130" s="838"/>
      <c r="AR130" s="838"/>
      <c r="AS130" s="838"/>
      <c r="AT130" s="838"/>
    </row>
    <row r="131" spans="1:46" ht="13" x14ac:dyDescent="0.3">
      <c r="A131" s="157"/>
      <c r="B131" s="885" t="s">
        <v>90</v>
      </c>
      <c r="C131" s="885"/>
      <c r="D131" s="885"/>
      <c r="E131" s="885"/>
      <c r="F131" s="885"/>
      <c r="G131" s="885"/>
      <c r="H131" s="174"/>
      <c r="I131" s="174"/>
      <c r="J131" s="174"/>
      <c r="K131" s="301"/>
      <c r="L131" s="165"/>
      <c r="M131" s="236"/>
      <c r="N131" s="236"/>
      <c r="O131" s="165">
        <f t="shared" si="6"/>
        <v>47350</v>
      </c>
      <c r="P131" s="236">
        <f>4550+1450+750+1500+9300+8300+650</f>
        <v>26500</v>
      </c>
      <c r="Q131" s="236">
        <f>2500+3000+6400+4500+3800+650</f>
        <v>20850</v>
      </c>
      <c r="R131" s="170">
        <f t="shared" si="7"/>
        <v>0.15480938991695548</v>
      </c>
      <c r="S131" s="165" t="e">
        <f>U131+#REF!</f>
        <v>#REF!</v>
      </c>
      <c r="T131" s="165" t="e">
        <f>U131+#REF!</f>
        <v>#REF!</v>
      </c>
      <c r="U131" s="302">
        <v>31800</v>
      </c>
      <c r="V131" s="474">
        <f>W131+X131</f>
        <v>25000</v>
      </c>
      <c r="W131" s="1224">
        <v>10000</v>
      </c>
      <c r="X131" s="1225">
        <v>15000</v>
      </c>
      <c r="Y131" s="303"/>
      <c r="Z131" s="1075"/>
      <c r="AA131" s="1075"/>
      <c r="AB131" s="306"/>
      <c r="AC131" s="1149"/>
      <c r="AD131" s="1150"/>
      <c r="AE131" s="1150"/>
      <c r="AF131" s="1150"/>
      <c r="AG131" s="1150"/>
      <c r="AH131" s="1150"/>
      <c r="AI131" s="1150"/>
      <c r="AJ131" s="1150"/>
      <c r="AK131" s="838"/>
      <c r="AL131" s="838"/>
      <c r="AM131" s="838"/>
      <c r="AN131" s="838"/>
      <c r="AO131" s="838"/>
      <c r="AP131" s="838"/>
      <c r="AQ131" s="838"/>
      <c r="AR131" s="838"/>
      <c r="AS131" s="838"/>
      <c r="AT131" s="838"/>
    </row>
    <row r="132" spans="1:46" ht="13" x14ac:dyDescent="0.3">
      <c r="A132" s="157"/>
      <c r="B132" s="885" t="s">
        <v>91</v>
      </c>
      <c r="C132" s="885"/>
      <c r="D132" s="885"/>
      <c r="E132" s="885"/>
      <c r="F132" s="885"/>
      <c r="G132" s="885"/>
      <c r="H132" s="174"/>
      <c r="I132" s="174"/>
      <c r="J132" s="174"/>
      <c r="K132" s="301"/>
      <c r="L132" s="307">
        <f>M132+N132</f>
        <v>45000</v>
      </c>
      <c r="M132" s="236">
        <v>22500</v>
      </c>
      <c r="N132" s="236">
        <v>22500</v>
      </c>
      <c r="O132" s="307">
        <f>P132+Q132</f>
        <v>64787.86</v>
      </c>
      <c r="P132" s="236">
        <f>42614.07+1592.5</f>
        <v>44206.57</v>
      </c>
      <c r="Q132" s="236">
        <f>18988.79+1592.5</f>
        <v>20581.29</v>
      </c>
      <c r="R132" s="170">
        <f t="shared" si="7"/>
        <v>0.2118219446805728</v>
      </c>
      <c r="S132" s="165"/>
      <c r="T132" s="307" t="e">
        <f>U132+#REF!</f>
        <v>#REF!</v>
      </c>
      <c r="U132" s="302">
        <v>53050</v>
      </c>
      <c r="V132" s="474">
        <f>W132+X132</f>
        <v>42000</v>
      </c>
      <c r="W132" s="1224">
        <v>18000</v>
      </c>
      <c r="X132" s="1225">
        <v>24000</v>
      </c>
      <c r="Y132" s="303"/>
      <c r="Z132" s="1153"/>
      <c r="AA132" s="1154"/>
      <c r="AB132" s="1155"/>
      <c r="AC132" s="1149"/>
      <c r="AD132" s="1150"/>
      <c r="AE132" s="1150"/>
      <c r="AF132" s="1150"/>
      <c r="AG132" s="1150"/>
      <c r="AH132" s="1150"/>
      <c r="AI132" s="1150"/>
      <c r="AJ132" s="1150"/>
      <c r="AK132" s="838"/>
      <c r="AL132" s="838"/>
      <c r="AM132" s="838"/>
      <c r="AN132" s="838"/>
      <c r="AO132" s="838"/>
      <c r="AP132" s="838"/>
      <c r="AQ132" s="838"/>
      <c r="AR132" s="838"/>
      <c r="AS132" s="838"/>
      <c r="AT132" s="838"/>
    </row>
    <row r="133" spans="1:46" ht="16" thickBot="1" x14ac:dyDescent="0.4">
      <c r="A133" s="279"/>
      <c r="B133" s="308" t="s">
        <v>92</v>
      </c>
      <c r="C133" s="283"/>
      <c r="D133" s="283"/>
      <c r="E133" s="283"/>
      <c r="F133" s="283"/>
      <c r="G133" s="283"/>
      <c r="H133" s="283"/>
      <c r="I133" s="283"/>
      <c r="J133" s="283"/>
      <c r="K133" s="309" t="s">
        <v>93</v>
      </c>
      <c r="L133" s="310">
        <f>M133+N133</f>
        <v>45000</v>
      </c>
      <c r="M133" s="311">
        <v>22500</v>
      </c>
      <c r="N133" s="311">
        <v>22500</v>
      </c>
      <c r="O133" s="312">
        <f>P133+Q133</f>
        <v>4400</v>
      </c>
      <c r="P133" s="313">
        <v>2900</v>
      </c>
      <c r="Q133" s="313">
        <v>1500</v>
      </c>
      <c r="R133" s="170">
        <f t="shared" si="7"/>
        <v>1.4385666644870202E-2</v>
      </c>
      <c r="S133" s="165" t="e">
        <f>U133+#REF!</f>
        <v>#REF!</v>
      </c>
      <c r="T133" s="312" t="e">
        <f>U133+#REF!</f>
        <v>#REF!</v>
      </c>
      <c r="U133" s="314">
        <v>2900</v>
      </c>
      <c r="V133" s="925">
        <f>W133+X133</f>
        <v>0</v>
      </c>
      <c r="W133" s="1564">
        <v>0</v>
      </c>
      <c r="X133" s="1565">
        <v>0</v>
      </c>
      <c r="Y133" s="924"/>
      <c r="Z133" s="316"/>
      <c r="AA133" s="305"/>
      <c r="AB133" s="838"/>
      <c r="AC133" s="838"/>
      <c r="AD133" s="838"/>
      <c r="AE133" s="838"/>
      <c r="AF133" s="838"/>
      <c r="AG133" s="838"/>
      <c r="AH133" s="838"/>
      <c r="AI133" s="838"/>
      <c r="AJ133" s="838"/>
      <c r="AK133" s="838"/>
      <c r="AL133" s="838"/>
      <c r="AM133" s="838"/>
      <c r="AN133" s="838"/>
      <c r="AO133" s="838"/>
      <c r="AP133" s="838"/>
      <c r="AQ133" s="838"/>
      <c r="AR133" s="838"/>
      <c r="AS133" s="838"/>
      <c r="AT133" s="838"/>
    </row>
    <row r="134" spans="1:46" ht="12.75" customHeight="1" x14ac:dyDescent="0.3">
      <c r="A134" s="287"/>
      <c r="B134" s="32" t="s">
        <v>94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224">
        <f t="shared" ref="L134:L140" si="8">M134+N134</f>
        <v>677252</v>
      </c>
      <c r="M134" s="317">
        <f>M135+M136+M139+M140+M142+M143</f>
        <v>351868</v>
      </c>
      <c r="N134" s="317">
        <f>N135+N136+N139+N140+N142+N143</f>
        <v>325384</v>
      </c>
      <c r="O134" s="224">
        <f t="shared" si="6"/>
        <v>565917.07000000007</v>
      </c>
      <c r="P134" s="317">
        <f>P135+P136+P138+P139+P140+P142+P143</f>
        <v>293165.58</v>
      </c>
      <c r="Q134" s="317">
        <f>Q135+Q136+Q138+Q139+Q140+Q142+Q143</f>
        <v>272751.49</v>
      </c>
      <c r="R134" s="291">
        <f>R135+R136+R138+R143</f>
        <v>0.58990083698424123</v>
      </c>
      <c r="S134" s="224" t="e">
        <f>U134+#REF!</f>
        <v>#REF!</v>
      </c>
      <c r="T134" s="224" t="e">
        <f>U134+#REF!</f>
        <v>#REF!</v>
      </c>
      <c r="U134" s="317">
        <f>U135+U136+U138+U139+U140+U142+U143</f>
        <v>327610</v>
      </c>
      <c r="V134" s="318">
        <f>V135+V136+V138+V139+V140+V142+V143+V137</f>
        <v>716472</v>
      </c>
      <c r="W134" s="318">
        <f>W135+W136+W138+W139+W140+W142+W143+W137</f>
        <v>369168</v>
      </c>
      <c r="X134" s="318">
        <f>X135+X136+X138+X139+X140+X142+X143+X137</f>
        <v>347304</v>
      </c>
      <c r="Y134" s="319"/>
      <c r="Z134" s="268"/>
      <c r="AA134" s="838"/>
      <c r="AB134" s="838"/>
      <c r="AC134" s="838"/>
      <c r="AD134" s="838"/>
      <c r="AE134" s="838"/>
      <c r="AF134" s="838"/>
      <c r="AG134" s="838"/>
      <c r="AH134" s="838"/>
      <c r="AI134" s="838"/>
      <c r="AJ134" s="838"/>
      <c r="AK134" s="838"/>
      <c r="AL134" s="838"/>
      <c r="AM134" s="838"/>
      <c r="AN134" s="838"/>
      <c r="AO134" s="838"/>
      <c r="AP134" s="838"/>
      <c r="AQ134" s="838"/>
      <c r="AR134" s="838"/>
      <c r="AS134" s="838"/>
      <c r="AT134" s="838"/>
    </row>
    <row r="135" spans="1:46" ht="13" x14ac:dyDescent="0.3">
      <c r="A135" s="157"/>
      <c r="B135" s="158" t="s">
        <v>95</v>
      </c>
      <c r="C135" s="158"/>
      <c r="D135" s="158"/>
      <c r="E135" s="158"/>
      <c r="F135" s="158"/>
      <c r="G135" s="158"/>
      <c r="H135" s="189"/>
      <c r="I135" s="158"/>
      <c r="J135" s="158"/>
      <c r="K135" s="320" t="s">
        <v>96</v>
      </c>
      <c r="L135" s="165">
        <f t="shared" si="8"/>
        <v>37000</v>
      </c>
      <c r="M135" s="198">
        <v>18500</v>
      </c>
      <c r="N135" s="198">
        <v>18500</v>
      </c>
      <c r="O135" s="165">
        <f t="shared" si="6"/>
        <v>48538.33</v>
      </c>
      <c r="P135" s="198">
        <f>26165.28+2935.35</f>
        <v>29100.629999999997</v>
      </c>
      <c r="Q135" s="198">
        <f>16502.34+2935.36</f>
        <v>19437.7</v>
      </c>
      <c r="R135" s="170">
        <f>O135/10/30586</f>
        <v>0.15869459883606882</v>
      </c>
      <c r="S135" s="165" t="e">
        <f>U135+#REF!</f>
        <v>#REF!</v>
      </c>
      <c r="T135" s="165" t="e">
        <f>U135+#REF!</f>
        <v>#REF!</v>
      </c>
      <c r="U135" s="198">
        <v>34950</v>
      </c>
      <c r="V135" s="903">
        <f>W135+X135</f>
        <v>60000</v>
      </c>
      <c r="W135" s="899">
        <v>30000</v>
      </c>
      <c r="X135" s="902">
        <v>30000</v>
      </c>
      <c r="Y135" s="294"/>
      <c r="Z135" s="1153"/>
      <c r="AA135" s="1158"/>
      <c r="AB135" s="1160"/>
      <c r="AC135" s="838"/>
      <c r="AD135" s="838"/>
      <c r="AE135" s="838"/>
      <c r="AF135" s="838"/>
      <c r="AG135" s="838"/>
      <c r="AH135" s="838"/>
      <c r="AI135" s="838"/>
      <c r="AJ135" s="838"/>
      <c r="AK135" s="838"/>
      <c r="AL135" s="838"/>
      <c r="AM135" s="838"/>
      <c r="AN135" s="838"/>
      <c r="AO135" s="838"/>
      <c r="AP135" s="838"/>
      <c r="AQ135" s="838"/>
      <c r="AR135" s="838"/>
      <c r="AS135" s="838"/>
      <c r="AT135" s="838"/>
    </row>
    <row r="136" spans="1:46" x14ac:dyDescent="0.25">
      <c r="A136" s="157"/>
      <c r="B136" s="885" t="s">
        <v>97</v>
      </c>
      <c r="C136" s="885"/>
      <c r="D136" s="885"/>
      <c r="E136" s="885"/>
      <c r="F136" s="885"/>
      <c r="G136" s="885"/>
      <c r="H136" s="885"/>
      <c r="I136" s="885"/>
      <c r="J136" s="158"/>
      <c r="K136" s="158"/>
      <c r="L136" s="165">
        <f t="shared" si="8"/>
        <v>162000</v>
      </c>
      <c r="M136" s="198">
        <v>81000</v>
      </c>
      <c r="N136" s="198">
        <v>81000</v>
      </c>
      <c r="O136" s="165">
        <f t="shared" si="6"/>
        <v>78000</v>
      </c>
      <c r="P136" s="198">
        <v>39000</v>
      </c>
      <c r="Q136" s="198">
        <v>39000</v>
      </c>
      <c r="R136" s="170">
        <f>O136/10/30586</f>
        <v>0.2550186359772445</v>
      </c>
      <c r="S136" s="165" t="e">
        <f>U136+#REF!</f>
        <v>#REF!</v>
      </c>
      <c r="T136" s="165" t="e">
        <f>U136+#REF!</f>
        <v>#REF!</v>
      </c>
      <c r="U136" s="198">
        <v>46800</v>
      </c>
      <c r="V136" s="903">
        <f>W136+X136</f>
        <v>104000</v>
      </c>
      <c r="W136" s="207">
        <v>52000</v>
      </c>
      <c r="X136" s="300">
        <v>52000</v>
      </c>
      <c r="Y136" s="200"/>
      <c r="Z136" s="276"/>
      <c r="AA136" s="838"/>
      <c r="AB136" s="838"/>
      <c r="AC136" s="838"/>
      <c r="AD136" s="838"/>
      <c r="AE136" s="838"/>
      <c r="AF136" s="838"/>
      <c r="AG136" s="838"/>
      <c r="AH136" s="838"/>
      <c r="AI136" s="838"/>
      <c r="AJ136" s="838"/>
      <c r="AK136" s="838"/>
      <c r="AL136" s="838"/>
      <c r="AM136" s="838"/>
      <c r="AN136" s="838"/>
      <c r="AO136" s="838"/>
      <c r="AP136" s="838"/>
      <c r="AQ136" s="838"/>
      <c r="AR136" s="838"/>
      <c r="AS136" s="838"/>
      <c r="AT136" s="838"/>
    </row>
    <row r="137" spans="1:46" ht="13" x14ac:dyDescent="0.3">
      <c r="A137" s="157"/>
      <c r="B137" s="885" t="s">
        <v>98</v>
      </c>
      <c r="C137" s="885"/>
      <c r="D137" s="885"/>
      <c r="E137" s="885"/>
      <c r="F137" s="885"/>
      <c r="G137" s="885"/>
      <c r="H137" s="885"/>
      <c r="I137" s="885"/>
      <c r="J137" s="158"/>
      <c r="K137" s="158"/>
      <c r="L137" s="165"/>
      <c r="M137" s="198"/>
      <c r="N137" s="198"/>
      <c r="O137" s="165"/>
      <c r="P137" s="198"/>
      <c r="Q137" s="198"/>
      <c r="R137" s="170"/>
      <c r="S137" s="165"/>
      <c r="T137" s="165"/>
      <c r="U137" s="198"/>
      <c r="V137" s="903">
        <f>W137+X137</f>
        <v>30000</v>
      </c>
      <c r="W137" s="899">
        <v>15000</v>
      </c>
      <c r="X137" s="902">
        <v>15000</v>
      </c>
      <c r="Y137" s="200"/>
      <c r="Z137" s="304"/>
      <c r="AA137" s="838"/>
      <c r="AB137" s="838"/>
      <c r="AC137" s="838"/>
      <c r="AD137" s="838"/>
      <c r="AE137" s="838"/>
      <c r="AF137" s="838"/>
      <c r="AG137" s="838"/>
      <c r="AH137" s="838"/>
      <c r="AI137" s="838"/>
      <c r="AJ137" s="838"/>
      <c r="AK137" s="838"/>
      <c r="AL137" s="838"/>
      <c r="AM137" s="838"/>
      <c r="AN137" s="838"/>
      <c r="AO137" s="838"/>
      <c r="AP137" s="838"/>
      <c r="AQ137" s="838"/>
      <c r="AR137" s="838"/>
      <c r="AS137" s="838"/>
      <c r="AT137" s="838"/>
    </row>
    <row r="138" spans="1:46" ht="13" x14ac:dyDescent="0.3">
      <c r="A138" s="157"/>
      <c r="B138" s="87" t="s">
        <v>99</v>
      </c>
      <c r="C138" s="87"/>
      <c r="D138" s="87"/>
      <c r="E138" s="87"/>
      <c r="F138" s="87"/>
      <c r="G138" s="87"/>
      <c r="H138" s="87"/>
      <c r="I138" s="87"/>
      <c r="J138" s="322"/>
      <c r="K138" s="322"/>
      <c r="L138" s="323">
        <f t="shared" si="8"/>
        <v>0</v>
      </c>
      <c r="M138" s="198"/>
      <c r="N138" s="233"/>
      <c r="O138" s="323">
        <f t="shared" si="6"/>
        <v>0</v>
      </c>
      <c r="P138" s="252"/>
      <c r="Q138" s="252"/>
      <c r="R138" s="170">
        <f>O138/10/30586</f>
        <v>0</v>
      </c>
      <c r="S138" s="323" t="e">
        <f>U138+#REF!</f>
        <v>#REF!</v>
      </c>
      <c r="T138" s="246" t="e">
        <f>U138+#REF!</f>
        <v>#REF!</v>
      </c>
      <c r="U138" s="252"/>
      <c r="V138" s="901">
        <v>0</v>
      </c>
      <c r="W138" s="324"/>
      <c r="X138" s="325">
        <v>0</v>
      </c>
      <c r="Y138" s="200"/>
      <c r="Z138" s="276"/>
      <c r="AA138" s="838"/>
      <c r="AB138" s="838"/>
      <c r="AC138" s="838"/>
      <c r="AD138" s="838"/>
      <c r="AE138" s="838"/>
      <c r="AF138" s="838"/>
      <c r="AG138" s="838"/>
      <c r="AH138" s="838"/>
      <c r="AI138" s="838"/>
      <c r="AJ138" s="838"/>
      <c r="AK138" s="838"/>
      <c r="AL138" s="838"/>
      <c r="AM138" s="838"/>
      <c r="AN138" s="838"/>
      <c r="AO138" s="838"/>
      <c r="AP138" s="838"/>
      <c r="AQ138" s="838"/>
      <c r="AR138" s="838"/>
      <c r="AS138" s="838"/>
      <c r="AT138" s="838"/>
    </row>
    <row r="139" spans="1:46" ht="13" x14ac:dyDescent="0.3">
      <c r="A139" s="157"/>
      <c r="B139" s="1687" t="s">
        <v>100</v>
      </c>
      <c r="C139" s="1687"/>
      <c r="D139" s="1687"/>
      <c r="E139" s="1687"/>
      <c r="F139" s="1687"/>
      <c r="G139" s="885"/>
      <c r="H139" s="885"/>
      <c r="I139" s="885"/>
      <c r="J139" s="158"/>
      <c r="K139" s="158"/>
      <c r="L139" s="326">
        <f t="shared" si="8"/>
        <v>225252</v>
      </c>
      <c r="M139" s="327">
        <v>107868</v>
      </c>
      <c r="N139" s="328">
        <v>117384</v>
      </c>
      <c r="O139" s="329">
        <f t="shared" si="6"/>
        <v>227310</v>
      </c>
      <c r="P139" s="330">
        <f>117390+2000+1700</f>
        <v>121090</v>
      </c>
      <c r="Q139" s="330">
        <f>103320+1200+1700</f>
        <v>106220</v>
      </c>
      <c r="R139" s="170">
        <v>0</v>
      </c>
      <c r="S139" s="326" t="e">
        <f>U139+#REF!</f>
        <v>#REF!</v>
      </c>
      <c r="T139" s="331" t="e">
        <f>U139+#REF!</f>
        <v>#REF!</v>
      </c>
      <c r="U139" s="332">
        <f>117390+2000+1700</f>
        <v>121090</v>
      </c>
      <c r="V139" s="903">
        <f>W139+X139</f>
        <v>283872</v>
      </c>
      <c r="W139" s="899">
        <f>137868</f>
        <v>137868</v>
      </c>
      <c r="X139" s="901">
        <v>146004</v>
      </c>
      <c r="Y139" s="333">
        <v>143004</v>
      </c>
      <c r="Z139" s="316"/>
      <c r="AA139" s="838"/>
      <c r="AB139" s="838"/>
      <c r="AC139" s="838"/>
      <c r="AD139" s="838"/>
      <c r="AE139" s="838"/>
      <c r="AF139" s="838"/>
      <c r="AG139" s="838"/>
      <c r="AH139" s="838"/>
      <c r="AI139" s="838"/>
      <c r="AJ139" s="838"/>
      <c r="AK139" s="838"/>
      <c r="AL139" s="838"/>
      <c r="AM139" s="838"/>
      <c r="AN139" s="838"/>
      <c r="AO139" s="838"/>
      <c r="AP139" s="838"/>
      <c r="AQ139" s="838"/>
      <c r="AR139" s="838"/>
      <c r="AS139" s="838"/>
      <c r="AT139" s="838"/>
    </row>
    <row r="140" spans="1:46" ht="13" x14ac:dyDescent="0.3">
      <c r="A140" s="157"/>
      <c r="B140" s="1687" t="s">
        <v>101</v>
      </c>
      <c r="C140" s="1687"/>
      <c r="D140" s="1687"/>
      <c r="E140" s="1687"/>
      <c r="F140" s="1687"/>
      <c r="G140" s="885"/>
      <c r="H140" s="885"/>
      <c r="I140" s="885"/>
      <c r="J140" s="158"/>
      <c r="K140" s="158"/>
      <c r="L140" s="326">
        <f t="shared" si="8"/>
        <v>228000</v>
      </c>
      <c r="M140" s="327">
        <v>132000</v>
      </c>
      <c r="N140" s="328">
        <v>96000</v>
      </c>
      <c r="O140" s="326">
        <f t="shared" si="6"/>
        <v>158000</v>
      </c>
      <c r="P140" s="328">
        <f>80000</f>
        <v>80000</v>
      </c>
      <c r="Q140" s="328">
        <f>78000</f>
        <v>78000</v>
      </c>
      <c r="R140" s="170">
        <v>0</v>
      </c>
      <c r="S140" s="326" t="e">
        <f>U140+#REF!</f>
        <v>#REF!</v>
      </c>
      <c r="T140" s="334" t="e">
        <f>U140+#REF!</f>
        <v>#REF!</v>
      </c>
      <c r="U140" s="328">
        <v>96000</v>
      </c>
      <c r="V140" s="903">
        <f>W140+X140</f>
        <v>192000</v>
      </c>
      <c r="W140" s="899">
        <v>111000</v>
      </c>
      <c r="X140" s="901">
        <v>81000</v>
      </c>
      <c r="Y140" s="333">
        <v>81000</v>
      </c>
      <c r="Z140" s="276"/>
      <c r="AA140" s="838"/>
      <c r="AB140" s="838"/>
      <c r="AC140" s="838"/>
      <c r="AD140" s="838"/>
      <c r="AE140" s="838"/>
      <c r="AF140" s="838"/>
      <c r="AG140" s="838"/>
      <c r="AH140" s="838"/>
      <c r="AI140" s="838"/>
      <c r="AJ140" s="838"/>
      <c r="AK140" s="838"/>
      <c r="AL140" s="838"/>
      <c r="AM140" s="838"/>
      <c r="AN140" s="838"/>
      <c r="AO140" s="838"/>
      <c r="AP140" s="838"/>
      <c r="AQ140" s="838"/>
      <c r="AR140" s="838"/>
      <c r="AS140" s="838"/>
      <c r="AT140" s="838"/>
    </row>
    <row r="141" spans="1:46" hidden="1" x14ac:dyDescent="0.25">
      <c r="A141" s="157"/>
      <c r="B141" s="322"/>
      <c r="C141" s="322"/>
      <c r="D141" s="322"/>
      <c r="E141" s="322"/>
      <c r="F141" s="322"/>
      <c r="G141" s="322"/>
      <c r="H141" s="322"/>
      <c r="I141" s="322"/>
      <c r="J141" s="322"/>
      <c r="K141" s="322"/>
      <c r="L141" s="161"/>
      <c r="M141" s="251"/>
      <c r="N141" s="252"/>
      <c r="O141" s="335"/>
      <c r="P141" s="252"/>
      <c r="Q141" s="252"/>
      <c r="R141" s="199"/>
      <c r="S141" s="161"/>
      <c r="T141" s="254"/>
      <c r="U141" s="252"/>
      <c r="V141" s="901"/>
      <c r="W141" s="336"/>
      <c r="X141" s="274"/>
      <c r="Y141" s="252"/>
      <c r="Z141" s="201"/>
      <c r="AA141" s="838"/>
      <c r="AB141" s="838"/>
      <c r="AC141" s="838"/>
      <c r="AD141" s="838"/>
      <c r="AE141" s="838"/>
      <c r="AF141" s="838"/>
      <c r="AG141" s="838"/>
      <c r="AH141" s="838"/>
      <c r="AI141" s="838"/>
      <c r="AJ141" s="838"/>
      <c r="AK141" s="838"/>
      <c r="AL141" s="838"/>
      <c r="AM141" s="838"/>
      <c r="AN141" s="838"/>
      <c r="AO141" s="838"/>
      <c r="AP141" s="838"/>
      <c r="AQ141" s="838"/>
      <c r="AR141" s="838"/>
      <c r="AS141" s="838"/>
      <c r="AT141" s="838"/>
    </row>
    <row r="142" spans="1:46" ht="13" x14ac:dyDescent="0.3">
      <c r="A142" s="157"/>
      <c r="B142" s="322" t="s">
        <v>102</v>
      </c>
      <c r="C142" s="322"/>
      <c r="D142" s="322"/>
      <c r="E142" s="322"/>
      <c r="F142" s="322"/>
      <c r="G142" s="322" t="s">
        <v>103</v>
      </c>
      <c r="H142" s="322"/>
      <c r="I142" s="322"/>
      <c r="J142" s="322"/>
      <c r="K142" s="322"/>
      <c r="L142" s="323">
        <f>M142+N142</f>
        <v>0</v>
      </c>
      <c r="M142" s="337"/>
      <c r="N142" s="338"/>
      <c r="O142" s="339">
        <f>P142+Q142</f>
        <v>180</v>
      </c>
      <c r="P142" s="340"/>
      <c r="Q142" s="341">
        <v>180</v>
      </c>
      <c r="R142" s="170">
        <v>0</v>
      </c>
      <c r="S142" s="323" t="e">
        <f>U142+#REF!</f>
        <v>#REF!</v>
      </c>
      <c r="T142" s="334" t="e">
        <f>U142+#REF!</f>
        <v>#REF!</v>
      </c>
      <c r="U142" s="338"/>
      <c r="V142" s="903">
        <f>W142+X142</f>
        <v>9600</v>
      </c>
      <c r="W142" s="342">
        <v>4800</v>
      </c>
      <c r="X142" s="274">
        <v>4800</v>
      </c>
      <c r="Y142" s="328">
        <v>0</v>
      </c>
      <c r="Z142" s="276"/>
      <c r="AA142" s="838"/>
      <c r="AB142" s="838"/>
      <c r="AC142" s="838"/>
      <c r="AD142" s="838"/>
      <c r="AE142" s="838"/>
      <c r="AF142" s="838"/>
      <c r="AG142" s="838"/>
      <c r="AH142" s="838"/>
      <c r="AI142" s="838"/>
      <c r="AJ142" s="838"/>
      <c r="AK142" s="838"/>
      <c r="AL142" s="838"/>
      <c r="AM142" s="838"/>
      <c r="AN142" s="838"/>
      <c r="AO142" s="838"/>
      <c r="AP142" s="838"/>
      <c r="AQ142" s="838"/>
      <c r="AR142" s="838"/>
      <c r="AS142" s="838"/>
      <c r="AT142" s="838"/>
    </row>
    <row r="143" spans="1:46" ht="12" customHeight="1" thickBot="1" x14ac:dyDescent="0.35">
      <c r="A143" s="131"/>
      <c r="B143" s="343" t="s">
        <v>104</v>
      </c>
      <c r="C143" s="343"/>
      <c r="D143" s="343"/>
      <c r="E143" s="343"/>
      <c r="F143" s="343"/>
      <c r="G143" s="211"/>
      <c r="H143" s="211"/>
      <c r="I143" s="344"/>
      <c r="J143" s="344"/>
      <c r="K143" s="211"/>
      <c r="L143" s="345">
        <f>M143+N143</f>
        <v>25000</v>
      </c>
      <c r="M143" s="346">
        <v>12500</v>
      </c>
      <c r="N143" s="347">
        <v>12500</v>
      </c>
      <c r="O143" s="348">
        <f>P143+Q143</f>
        <v>53888.740000000005</v>
      </c>
      <c r="P143" s="349">
        <f>200+275.5+2250+1000+2750+8473.75+83+8942.7</f>
        <v>23974.95</v>
      </c>
      <c r="Q143" s="349">
        <f>750+1340.99+350+9973.36+8473.74+83+8942.7</f>
        <v>29913.79</v>
      </c>
      <c r="R143" s="170">
        <f>O143/10/30586</f>
        <v>0.17618760217092791</v>
      </c>
      <c r="S143" s="345" t="e">
        <f>U143+#REF!</f>
        <v>#REF!</v>
      </c>
      <c r="T143" s="348" t="e">
        <f>U143+#REF!</f>
        <v>#REF!</v>
      </c>
      <c r="U143" s="349">
        <v>28770</v>
      </c>
      <c r="V143" s="903">
        <f>W143+X143</f>
        <v>37000</v>
      </c>
      <c r="W143" s="214">
        <v>18500</v>
      </c>
      <c r="X143" s="281">
        <v>18500</v>
      </c>
      <c r="Y143" s="347">
        <v>20000</v>
      </c>
      <c r="Z143" s="316"/>
      <c r="AA143" s="838"/>
      <c r="AB143" s="838"/>
      <c r="AC143" s="838"/>
      <c r="AD143" s="838"/>
      <c r="AE143" s="838"/>
      <c r="AF143" s="838"/>
      <c r="AG143" s="838"/>
      <c r="AH143" s="838"/>
      <c r="AI143" s="838"/>
      <c r="AJ143" s="838"/>
      <c r="AK143" s="838"/>
      <c r="AL143" s="838"/>
      <c r="AM143" s="838"/>
      <c r="AN143" s="838"/>
      <c r="AO143" s="838"/>
      <c r="AP143" s="838"/>
      <c r="AQ143" s="838"/>
      <c r="AR143" s="838"/>
      <c r="AS143" s="838"/>
      <c r="AT143" s="838"/>
    </row>
    <row r="144" spans="1:46" ht="13" hidden="1" thickBot="1" x14ac:dyDescent="0.3">
      <c r="A144" s="2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350"/>
      <c r="M144" s="244"/>
      <c r="N144" s="245"/>
      <c r="O144" s="351"/>
      <c r="P144" s="245"/>
      <c r="Q144" s="245"/>
      <c r="R144" s="352"/>
      <c r="S144" s="350"/>
      <c r="T144" s="353"/>
      <c r="U144" s="245"/>
      <c r="V144" s="350"/>
      <c r="W144" s="354"/>
      <c r="X144" s="245"/>
      <c r="Y144" s="248"/>
      <c r="Z144" s="201"/>
      <c r="AA144" s="838"/>
      <c r="AB144" s="838"/>
      <c r="AC144" s="838"/>
      <c r="AD144" s="838"/>
      <c r="AE144" s="838"/>
      <c r="AF144" s="838"/>
      <c r="AG144" s="838"/>
      <c r="AH144" s="838"/>
      <c r="AI144" s="838"/>
      <c r="AJ144" s="838"/>
      <c r="AK144" s="838"/>
      <c r="AL144" s="838"/>
      <c r="AM144" s="838"/>
      <c r="AN144" s="838"/>
      <c r="AO144" s="838"/>
      <c r="AP144" s="838"/>
      <c r="AQ144" s="838"/>
      <c r="AR144" s="838"/>
      <c r="AS144" s="838"/>
      <c r="AT144" s="838"/>
    </row>
    <row r="145" spans="1:46" ht="13" hidden="1" thickBot="1" x14ac:dyDescent="0.3">
      <c r="A145" s="23"/>
      <c r="B145" s="104"/>
      <c r="C145" s="104"/>
      <c r="D145" s="104"/>
      <c r="E145" s="104"/>
      <c r="F145" s="104"/>
      <c r="G145" s="158"/>
      <c r="H145" s="158"/>
      <c r="I145" s="158"/>
      <c r="J145" s="158"/>
      <c r="K145" s="158"/>
      <c r="L145" s="161"/>
      <c r="M145" s="251"/>
      <c r="N145" s="252"/>
      <c r="O145" s="335"/>
      <c r="P145" s="252"/>
      <c r="Q145" s="252"/>
      <c r="R145" s="199"/>
      <c r="S145" s="161"/>
      <c r="T145" s="254"/>
      <c r="U145" s="252"/>
      <c r="V145" s="161"/>
      <c r="W145" s="161"/>
      <c r="X145" s="252"/>
      <c r="Y145" s="200"/>
      <c r="Z145" s="201"/>
      <c r="AA145" s="838"/>
      <c r="AB145" s="838"/>
      <c r="AC145" s="838"/>
      <c r="AD145" s="838"/>
      <c r="AE145" s="838"/>
      <c r="AF145" s="838"/>
      <c r="AG145" s="838"/>
      <c r="AH145" s="838"/>
      <c r="AI145" s="838"/>
      <c r="AJ145" s="838"/>
      <c r="AK145" s="838"/>
      <c r="AL145" s="838"/>
      <c r="AM145" s="838"/>
      <c r="AN145" s="838"/>
      <c r="AO145" s="838"/>
      <c r="AP145" s="838"/>
      <c r="AQ145" s="838"/>
      <c r="AR145" s="838"/>
      <c r="AS145" s="838"/>
      <c r="AT145" s="838"/>
    </row>
    <row r="146" spans="1:46" ht="13.5" hidden="1" thickBot="1" x14ac:dyDescent="0.35">
      <c r="A146" s="23"/>
      <c r="B146" s="355"/>
      <c r="C146" s="343"/>
      <c r="D146" s="343"/>
      <c r="E146" s="343"/>
      <c r="F146" s="356"/>
      <c r="G146" s="211"/>
      <c r="H146" s="211"/>
      <c r="I146" s="211"/>
      <c r="J146" s="211"/>
      <c r="K146" s="211"/>
      <c r="L146" s="161"/>
      <c r="M146" s="346"/>
      <c r="N146" s="347"/>
      <c r="O146" s="335"/>
      <c r="P146" s="347"/>
      <c r="Q146" s="347"/>
      <c r="R146" s="199"/>
      <c r="S146" s="161"/>
      <c r="T146" s="254"/>
      <c r="U146" s="347"/>
      <c r="V146" s="161"/>
      <c r="W146" s="161"/>
      <c r="X146" s="347"/>
      <c r="Y146" s="215"/>
      <c r="Z146" s="201"/>
      <c r="AA146" s="838"/>
      <c r="AB146" s="838"/>
      <c r="AC146" s="838"/>
      <c r="AD146" s="838"/>
      <c r="AE146" s="838"/>
      <c r="AF146" s="838"/>
      <c r="AG146" s="838"/>
      <c r="AH146" s="838"/>
      <c r="AI146" s="838"/>
      <c r="AJ146" s="838"/>
      <c r="AK146" s="838"/>
      <c r="AL146" s="838"/>
      <c r="AM146" s="838"/>
      <c r="AN146" s="838"/>
      <c r="AO146" s="838"/>
      <c r="AP146" s="838"/>
      <c r="AQ146" s="838"/>
      <c r="AR146" s="838"/>
      <c r="AS146" s="838"/>
      <c r="AT146" s="838"/>
    </row>
    <row r="147" spans="1:46" ht="0.75" hidden="1" customHeight="1" x14ac:dyDescent="0.25">
      <c r="A147" s="23"/>
      <c r="B147" s="322"/>
      <c r="C147" s="322"/>
      <c r="D147" s="322"/>
      <c r="E147" s="322"/>
      <c r="F147" s="322"/>
      <c r="G147" s="158"/>
      <c r="H147" s="158"/>
      <c r="I147" s="158"/>
      <c r="J147" s="158"/>
      <c r="K147" s="158"/>
      <c r="L147" s="357"/>
      <c r="M147" s="358"/>
      <c r="N147" s="359"/>
      <c r="O147" s="360"/>
      <c r="P147" s="359"/>
      <c r="Q147" s="359"/>
      <c r="R147" s="361"/>
      <c r="S147" s="357"/>
      <c r="T147" s="362"/>
      <c r="U147" s="359"/>
      <c r="V147" s="357"/>
      <c r="W147" s="357"/>
      <c r="X147" s="359"/>
      <c r="Y147" s="271"/>
      <c r="Z147" s="201"/>
      <c r="AA147" s="838"/>
      <c r="AB147" s="838"/>
      <c r="AC147" s="838"/>
      <c r="AD147" s="838"/>
      <c r="AE147" s="838"/>
      <c r="AF147" s="838"/>
      <c r="AG147" s="838"/>
      <c r="AH147" s="838"/>
      <c r="AI147" s="838"/>
      <c r="AJ147" s="838"/>
      <c r="AK147" s="838"/>
      <c r="AL147" s="838"/>
      <c r="AM147" s="838"/>
      <c r="AN147" s="838"/>
      <c r="AO147" s="838"/>
      <c r="AP147" s="838"/>
      <c r="AQ147" s="838"/>
      <c r="AR147" s="838"/>
      <c r="AS147" s="838"/>
      <c r="AT147" s="838"/>
    </row>
    <row r="148" spans="1:46" s="104" customFormat="1" ht="15.75" customHeight="1" x14ac:dyDescent="0.3">
      <c r="A148" s="363"/>
      <c r="B148" s="364" t="s">
        <v>105</v>
      </c>
      <c r="C148" s="60"/>
      <c r="D148" s="60"/>
      <c r="E148" s="60"/>
      <c r="F148" s="60"/>
      <c r="G148" s="60"/>
      <c r="H148" s="60"/>
      <c r="I148" s="60"/>
      <c r="J148" s="60"/>
      <c r="K148" s="216"/>
      <c r="L148" s="365">
        <f>M148+N148</f>
        <v>300000</v>
      </c>
      <c r="M148" s="219">
        <f>M149+M155+M156+M158+M164</f>
        <v>145000</v>
      </c>
      <c r="N148" s="219">
        <f>N149+N155+N156+N158+N164</f>
        <v>155000</v>
      </c>
      <c r="O148" s="366">
        <f>P148+Q148</f>
        <v>278612.70999999996</v>
      </c>
      <c r="P148" s="367">
        <f>P149+P155+P156+P158+P164</f>
        <v>129224.34999999999</v>
      </c>
      <c r="Q148" s="367">
        <f>Q149+Q155+Q156+Q158+Q164</f>
        <v>149388.35999999999</v>
      </c>
      <c r="R148" s="368">
        <f>R149+R155+R156+R158+R164</f>
        <v>0.91091581115543052</v>
      </c>
      <c r="S148" s="369">
        <f>R148/R238*100</f>
        <v>3.5196305525690161</v>
      </c>
      <c r="T148" s="370" t="e">
        <f>U148+#REF!</f>
        <v>#REF!</v>
      </c>
      <c r="U148" s="371">
        <f>U149+U155+U156+U158+U164</f>
        <v>147206.5</v>
      </c>
      <c r="V148" s="861">
        <f>V149+V155+V156+V158+V160+V161+V162+V163+V164</f>
        <v>335002</v>
      </c>
      <c r="W148" s="861">
        <f>W149+W155+W156+W158+W160+W161+W162+W163+W164</f>
        <v>160001</v>
      </c>
      <c r="X148" s="861">
        <f>X149+X155+X156+X158+X160+X161+X162+X163+X164</f>
        <v>175001</v>
      </c>
      <c r="Y148" s="372"/>
      <c r="Z148" s="268"/>
      <c r="AA148" s="850"/>
      <c r="AB148" s="850"/>
      <c r="AC148" s="850"/>
      <c r="AD148" s="850"/>
      <c r="AE148" s="850"/>
      <c r="AF148" s="850"/>
      <c r="AG148" s="850"/>
      <c r="AH148" s="850"/>
      <c r="AI148" s="850"/>
      <c r="AJ148" s="850"/>
      <c r="AK148" s="850"/>
      <c r="AL148" s="850"/>
      <c r="AM148" s="850"/>
      <c r="AN148" s="850"/>
      <c r="AO148" s="850"/>
      <c r="AP148" s="850"/>
      <c r="AQ148" s="850"/>
      <c r="AR148" s="850"/>
      <c r="AS148" s="850"/>
      <c r="AT148" s="850"/>
    </row>
    <row r="149" spans="1:46" ht="13" x14ac:dyDescent="0.3">
      <c r="A149" s="374"/>
      <c r="B149" s="851" t="s">
        <v>622</v>
      </c>
      <c r="C149" s="885"/>
      <c r="D149" s="885"/>
      <c r="E149" s="885"/>
      <c r="F149" s="885"/>
      <c r="G149" s="885"/>
      <c r="H149" s="885"/>
      <c r="I149" s="885"/>
      <c r="J149" s="1688" t="s">
        <v>419</v>
      </c>
      <c r="K149" s="33"/>
      <c r="L149" s="235">
        <f>M149+N149</f>
        <v>90000</v>
      </c>
      <c r="M149" s="241">
        <v>35000</v>
      </c>
      <c r="N149" s="241">
        <v>55000</v>
      </c>
      <c r="O149" s="235">
        <f>P149+Q149</f>
        <v>0</v>
      </c>
      <c r="P149" s="241">
        <f>P150+P152+P153</f>
        <v>0</v>
      </c>
      <c r="Q149" s="241">
        <f>Q150+Q152+Q153</f>
        <v>0</v>
      </c>
      <c r="R149" s="375">
        <f>O149/12/30586</f>
        <v>0</v>
      </c>
      <c r="S149" s="235" t="e">
        <f>U149+#REF!</f>
        <v>#REF!</v>
      </c>
      <c r="T149" s="235" t="e">
        <f>U149+#REF!</f>
        <v>#REF!</v>
      </c>
      <c r="U149" s="241">
        <f>U150+U152+U153</f>
        <v>0</v>
      </c>
      <c r="V149" s="854">
        <f>V150+V152+V153</f>
        <v>0</v>
      </c>
      <c r="W149" s="416">
        <f>X149+Y149</f>
        <v>0</v>
      </c>
      <c r="X149" s="854">
        <f>X150+X152+X153</f>
        <v>0</v>
      </c>
      <c r="Y149" s="200"/>
      <c r="Z149" s="1075"/>
      <c r="AA149" s="593"/>
      <c r="AB149" s="838"/>
      <c r="AC149" s="838"/>
      <c r="AD149" s="838"/>
      <c r="AE149" s="838"/>
      <c r="AF149" s="838"/>
      <c r="AG149" s="838"/>
      <c r="AH149" s="838"/>
      <c r="AI149" s="838"/>
      <c r="AJ149" s="838"/>
      <c r="AK149" s="838"/>
      <c r="AL149" s="838"/>
      <c r="AM149" s="838"/>
      <c r="AN149" s="838"/>
      <c r="AO149" s="838"/>
      <c r="AP149" s="838"/>
      <c r="AQ149" s="838"/>
      <c r="AR149" s="838"/>
      <c r="AS149" s="838"/>
      <c r="AT149" s="838"/>
    </row>
    <row r="150" spans="1:46" ht="13" x14ac:dyDescent="0.3">
      <c r="A150" s="374"/>
      <c r="B150" s="377" t="s">
        <v>107</v>
      </c>
      <c r="C150" s="885"/>
      <c r="D150" s="885"/>
      <c r="E150" s="885"/>
      <c r="F150" s="847"/>
      <c r="G150" s="885"/>
      <c r="H150" s="885"/>
      <c r="I150" s="847"/>
      <c r="J150" s="1689" t="s">
        <v>108</v>
      </c>
      <c r="K150" s="158"/>
      <c r="L150" s="284"/>
      <c r="M150" s="198"/>
      <c r="N150" s="198">
        <v>20000</v>
      </c>
      <c r="O150" s="284"/>
      <c r="P150" s="198"/>
      <c r="Q150" s="198"/>
      <c r="R150" s="378"/>
      <c r="S150" s="284"/>
      <c r="T150" s="379"/>
      <c r="U150" s="252"/>
      <c r="V150" s="884">
        <f>W150+X150</f>
        <v>0</v>
      </c>
      <c r="W150" s="936">
        <v>0</v>
      </c>
      <c r="X150" s="884">
        <v>0</v>
      </c>
      <c r="Y150" s="200"/>
      <c r="Z150" s="1076"/>
      <c r="AA150" s="593"/>
      <c r="AB150" s="838"/>
      <c r="AC150" s="838"/>
      <c r="AD150" s="838"/>
      <c r="AE150" s="838"/>
      <c r="AF150" s="838"/>
      <c r="AG150" s="838"/>
      <c r="AH150" s="838"/>
      <c r="AI150" s="838"/>
      <c r="AJ150" s="838"/>
      <c r="AK150" s="838"/>
      <c r="AL150" s="838"/>
      <c r="AM150" s="838"/>
      <c r="AN150" s="838"/>
      <c r="AO150" s="838"/>
      <c r="AP150" s="838"/>
      <c r="AQ150" s="838"/>
      <c r="AR150" s="838"/>
      <c r="AS150" s="838"/>
      <c r="AT150" s="838"/>
    </row>
    <row r="151" spans="1:46" ht="13" x14ac:dyDescent="0.3">
      <c r="A151" s="374"/>
      <c r="B151" s="377" t="s">
        <v>623</v>
      </c>
      <c r="C151" s="885"/>
      <c r="D151" s="885"/>
      <c r="E151" s="885"/>
      <c r="F151" s="847"/>
      <c r="G151" s="885"/>
      <c r="H151" s="885"/>
      <c r="I151" s="847"/>
      <c r="J151" s="1688" t="s">
        <v>419</v>
      </c>
      <c r="K151" s="158"/>
      <c r="L151" s="165"/>
      <c r="M151" s="198"/>
      <c r="N151" s="198"/>
      <c r="O151" s="165"/>
      <c r="P151" s="198"/>
      <c r="Q151" s="198"/>
      <c r="R151" s="240"/>
      <c r="S151" s="165"/>
      <c r="T151" s="246"/>
      <c r="U151" s="252"/>
      <c r="V151" s="884"/>
      <c r="W151" s="901"/>
      <c r="X151" s="884"/>
      <c r="Y151" s="200"/>
      <c r="Z151" s="1075"/>
      <c r="AA151" s="1075"/>
      <c r="AB151" s="838"/>
      <c r="AC151" s="838"/>
      <c r="AD151" s="838"/>
      <c r="AE151" s="838"/>
      <c r="AF151" s="838"/>
      <c r="AG151" s="838"/>
      <c r="AH151" s="838"/>
      <c r="AI151" s="838"/>
      <c r="AJ151" s="838"/>
      <c r="AK151" s="838"/>
      <c r="AL151" s="838"/>
      <c r="AM151" s="838"/>
      <c r="AN151" s="838"/>
      <c r="AO151" s="838"/>
      <c r="AP151" s="838"/>
      <c r="AQ151" s="838"/>
      <c r="AR151" s="838"/>
      <c r="AS151" s="838"/>
      <c r="AT151" s="838"/>
    </row>
    <row r="152" spans="1:46" ht="13" x14ac:dyDescent="0.3">
      <c r="A152" s="374"/>
      <c r="B152" s="377" t="s">
        <v>421</v>
      </c>
      <c r="C152" s="885"/>
      <c r="D152" s="885"/>
      <c r="E152" s="885"/>
      <c r="F152" s="847"/>
      <c r="G152" s="885"/>
      <c r="H152" s="885"/>
      <c r="I152" s="847"/>
      <c r="J152" s="847"/>
      <c r="K152" s="158"/>
      <c r="L152" s="165">
        <v>0</v>
      </c>
      <c r="M152" s="198"/>
      <c r="N152" s="198"/>
      <c r="O152" s="165">
        <f>P152</f>
        <v>0</v>
      </c>
      <c r="P152" s="198"/>
      <c r="Q152" s="198"/>
      <c r="R152" s="240">
        <v>0</v>
      </c>
      <c r="S152" s="165">
        <v>0</v>
      </c>
      <c r="T152" s="246">
        <f>U152</f>
        <v>0</v>
      </c>
      <c r="U152" s="252"/>
      <c r="V152" s="884">
        <f>W152+X152</f>
        <v>0</v>
      </c>
      <c r="W152" s="901">
        <f>X152</f>
        <v>0</v>
      </c>
      <c r="X152" s="884">
        <v>0</v>
      </c>
      <c r="Y152" s="200"/>
      <c r="Z152" s="1077"/>
      <c r="AA152" s="1078"/>
      <c r="AB152" s="838"/>
      <c r="AC152" s="838"/>
      <c r="AD152" s="838"/>
      <c r="AE152" s="838"/>
      <c r="AF152" s="838"/>
      <c r="AG152" s="838"/>
      <c r="AH152" s="838"/>
      <c r="AI152" s="838"/>
      <c r="AJ152" s="838"/>
      <c r="AK152" s="838"/>
      <c r="AL152" s="838"/>
      <c r="AM152" s="838"/>
      <c r="AN152" s="838"/>
      <c r="AO152" s="838"/>
      <c r="AP152" s="838"/>
      <c r="AQ152" s="838"/>
      <c r="AR152" s="838"/>
      <c r="AS152" s="838"/>
      <c r="AT152" s="838"/>
    </row>
    <row r="153" spans="1:46" ht="13" x14ac:dyDescent="0.3">
      <c r="A153" s="374"/>
      <c r="B153" s="377" t="s">
        <v>109</v>
      </c>
      <c r="C153" s="885"/>
      <c r="D153" s="885"/>
      <c r="E153" s="885"/>
      <c r="F153" s="847"/>
      <c r="G153" s="885"/>
      <c r="H153" s="885"/>
      <c r="I153" s="847"/>
      <c r="J153" s="1688" t="s">
        <v>419</v>
      </c>
      <c r="K153" s="158"/>
      <c r="L153" s="235">
        <f>M153+N153</f>
        <v>70000</v>
      </c>
      <c r="M153" s="198">
        <v>35000</v>
      </c>
      <c r="N153" s="198">
        <v>35000</v>
      </c>
      <c r="O153" s="339">
        <v>0</v>
      </c>
      <c r="P153" s="381"/>
      <c r="Q153" s="381"/>
      <c r="R153" s="297">
        <v>0</v>
      </c>
      <c r="S153" s="235">
        <v>0</v>
      </c>
      <c r="T153" s="334">
        <v>0</v>
      </c>
      <c r="U153" s="252"/>
      <c r="V153" s="884">
        <f>W153+X153</f>
        <v>0</v>
      </c>
      <c r="W153" s="418">
        <v>0</v>
      </c>
      <c r="X153" s="884">
        <v>0</v>
      </c>
      <c r="Y153" s="200"/>
      <c r="Z153" s="1077"/>
      <c r="AA153" s="1078"/>
      <c r="AB153" s="1159"/>
      <c r="AC153" s="838"/>
      <c r="AD153" s="838"/>
      <c r="AE153" s="838"/>
      <c r="AF153" s="838"/>
      <c r="AG153" s="838"/>
      <c r="AH153" s="838"/>
      <c r="AI153" s="838"/>
      <c r="AJ153" s="838"/>
      <c r="AK153" s="838"/>
      <c r="AL153" s="838"/>
      <c r="AM153" s="838"/>
      <c r="AN153" s="838"/>
      <c r="AO153" s="838"/>
      <c r="AP153" s="838"/>
      <c r="AQ153" s="838"/>
      <c r="AR153" s="838"/>
      <c r="AS153" s="838"/>
      <c r="AT153" s="838"/>
    </row>
    <row r="154" spans="1:46" ht="13" x14ac:dyDescent="0.3">
      <c r="A154" s="374"/>
      <c r="B154" s="851" t="s">
        <v>624</v>
      </c>
      <c r="C154" s="885"/>
      <c r="D154" s="885"/>
      <c r="E154" s="885"/>
      <c r="F154" s="847"/>
      <c r="G154" s="885"/>
      <c r="H154" s="885"/>
      <c r="I154" s="847"/>
      <c r="J154" s="847"/>
      <c r="K154" s="158"/>
      <c r="L154" s="235"/>
      <c r="M154" s="198"/>
      <c r="N154" s="198"/>
      <c r="O154" s="235"/>
      <c r="P154" s="198"/>
      <c r="Q154" s="198"/>
      <c r="R154" s="297"/>
      <c r="S154" s="235"/>
      <c r="T154" s="334"/>
      <c r="U154" s="252"/>
      <c r="V154" s="884"/>
      <c r="W154" s="418"/>
      <c r="X154" s="884"/>
      <c r="Y154" s="200"/>
      <c r="Z154" s="1075"/>
      <c r="AA154" s="996"/>
      <c r="AB154" s="838"/>
      <c r="AC154" s="838"/>
      <c r="AD154" s="838"/>
      <c r="AE154" s="838"/>
      <c r="AF154" s="838"/>
      <c r="AG154" s="838"/>
      <c r="AH154" s="838"/>
      <c r="AI154" s="838"/>
      <c r="AJ154" s="838"/>
      <c r="AK154" s="838"/>
      <c r="AL154" s="838"/>
      <c r="AM154" s="838"/>
      <c r="AN154" s="838"/>
      <c r="AO154" s="838"/>
      <c r="AP154" s="838"/>
      <c r="AQ154" s="838"/>
      <c r="AR154" s="838"/>
      <c r="AS154" s="838"/>
      <c r="AT154" s="838"/>
    </row>
    <row r="155" spans="1:46" ht="13" x14ac:dyDescent="0.3">
      <c r="A155" s="374"/>
      <c r="B155" s="377" t="s">
        <v>111</v>
      </c>
      <c r="C155" s="885"/>
      <c r="D155" s="885"/>
      <c r="E155" s="885"/>
      <c r="F155" s="847"/>
      <c r="G155" s="885"/>
      <c r="H155" s="885"/>
      <c r="I155" s="847"/>
      <c r="J155" s="847"/>
      <c r="K155" s="158"/>
      <c r="L155" s="235">
        <f>M155+N155</f>
        <v>80000</v>
      </c>
      <c r="M155" s="198">
        <v>40000</v>
      </c>
      <c r="N155" s="198">
        <v>40000</v>
      </c>
      <c r="O155" s="329">
        <f>P155+Q155</f>
        <v>15314.08</v>
      </c>
      <c r="P155" s="383">
        <f>1500+2150+2586.4+957.68+750</f>
        <v>7944.08</v>
      </c>
      <c r="Q155" s="383">
        <f>4670+1300+1400</f>
        <v>7370</v>
      </c>
      <c r="R155" s="226">
        <f>O155/10/30586</f>
        <v>5.0068920421107693E-2</v>
      </c>
      <c r="S155" s="235" t="e">
        <f>U155+#REF!</f>
        <v>#REF!</v>
      </c>
      <c r="T155" s="329" t="e">
        <f>U155+#REF!</f>
        <v>#REF!</v>
      </c>
      <c r="U155" s="383">
        <v>9550</v>
      </c>
      <c r="V155" s="855">
        <f>W155+X155</f>
        <v>20000</v>
      </c>
      <c r="W155" s="456">
        <f>X155+Y155</f>
        <v>10000</v>
      </c>
      <c r="X155" s="937">
        <v>10000</v>
      </c>
      <c r="Y155" s="200"/>
      <c r="Z155" s="1077"/>
      <c r="AA155" s="1078"/>
      <c r="AB155" s="838"/>
      <c r="AC155" s="838"/>
      <c r="AD155" s="838"/>
      <c r="AE155" s="838"/>
      <c r="AF155" s="838"/>
      <c r="AG155" s="838"/>
      <c r="AH155" s="838"/>
      <c r="AI155" s="838"/>
      <c r="AJ155" s="838"/>
      <c r="AK155" s="838"/>
      <c r="AL155" s="838"/>
      <c r="AM155" s="838"/>
      <c r="AN155" s="838"/>
      <c r="AO155" s="838"/>
      <c r="AP155" s="838"/>
      <c r="AQ155" s="838"/>
      <c r="AR155" s="838"/>
      <c r="AS155" s="838"/>
      <c r="AT155" s="838"/>
    </row>
    <row r="156" spans="1:46" ht="13" x14ac:dyDescent="0.3">
      <c r="A156" s="374"/>
      <c r="B156" s="851" t="s">
        <v>625</v>
      </c>
      <c r="C156" s="885"/>
      <c r="D156" s="885"/>
      <c r="E156" s="885"/>
      <c r="F156" s="847"/>
      <c r="G156" s="885"/>
      <c r="H156" s="885"/>
      <c r="I156" s="847"/>
      <c r="J156" s="847"/>
      <c r="K156" s="158"/>
      <c r="L156" s="235">
        <f>M156+N156</f>
        <v>20000</v>
      </c>
      <c r="M156" s="198">
        <v>10000</v>
      </c>
      <c r="N156" s="198">
        <v>10000</v>
      </c>
      <c r="O156" s="329">
        <f>P156+Q156</f>
        <v>69319</v>
      </c>
      <c r="P156" s="383">
        <f>4500+1000+2325+4480</f>
        <v>12305</v>
      </c>
      <c r="Q156" s="383">
        <f>600+3126+2600+50688</f>
        <v>57014</v>
      </c>
      <c r="R156" s="226">
        <f>O156/10/30586</f>
        <v>0.22663636958085398</v>
      </c>
      <c r="S156" s="235" t="e">
        <f>U156+#REF!</f>
        <v>#REF!</v>
      </c>
      <c r="T156" s="329" t="e">
        <f>U156+#REF!</f>
        <v>#REF!</v>
      </c>
      <c r="U156" s="383">
        <v>14766</v>
      </c>
      <c r="V156" s="855">
        <f>W156+X156</f>
        <v>50000</v>
      </c>
      <c r="W156" s="456">
        <f>X156+Y156</f>
        <v>25000</v>
      </c>
      <c r="X156" s="937">
        <v>25000</v>
      </c>
      <c r="Y156" s="200"/>
      <c r="Z156" s="1077"/>
      <c r="AA156" s="1078"/>
      <c r="AB156" s="838"/>
      <c r="AC156" s="838"/>
      <c r="AD156" s="838"/>
      <c r="AE156" s="838"/>
      <c r="AF156" s="838"/>
      <c r="AG156" s="838"/>
      <c r="AH156" s="838"/>
      <c r="AI156" s="838"/>
      <c r="AJ156" s="838"/>
      <c r="AK156" s="838"/>
      <c r="AL156" s="838"/>
      <c r="AM156" s="838"/>
      <c r="AN156" s="838"/>
      <c r="AO156" s="838"/>
      <c r="AP156" s="838"/>
      <c r="AQ156" s="838"/>
      <c r="AR156" s="838"/>
      <c r="AS156" s="838"/>
      <c r="AT156" s="838"/>
    </row>
    <row r="157" spans="1:46" ht="13" x14ac:dyDescent="0.3">
      <c r="A157" s="374"/>
      <c r="B157" s="887" t="s">
        <v>113</v>
      </c>
      <c r="C157" s="885"/>
      <c r="D157" s="885"/>
      <c r="E157" s="885"/>
      <c r="F157" s="847"/>
      <c r="G157" s="885"/>
      <c r="H157" s="885"/>
      <c r="I157" s="847"/>
      <c r="J157" s="847"/>
      <c r="K157" s="158"/>
      <c r="L157" s="235"/>
      <c r="M157" s="198"/>
      <c r="N157" s="198"/>
      <c r="O157" s="235"/>
      <c r="P157" s="198"/>
      <c r="Q157" s="198"/>
      <c r="R157" s="297"/>
      <c r="S157" s="235"/>
      <c r="T157" s="334"/>
      <c r="U157" s="252"/>
      <c r="V157" s="875"/>
      <c r="W157" s="418"/>
      <c r="X157" s="875"/>
      <c r="Y157" s="200"/>
      <c r="Z157" s="1079"/>
      <c r="AA157" s="1094"/>
      <c r="AB157" s="1095"/>
      <c r="AC157" s="838"/>
      <c r="AD157" s="838"/>
      <c r="AE157" s="838"/>
      <c r="AF157" s="838"/>
      <c r="AG157" s="838"/>
      <c r="AH157" s="838"/>
      <c r="AI157" s="838"/>
      <c r="AJ157" s="838"/>
      <c r="AK157" s="838"/>
      <c r="AL157" s="838"/>
      <c r="AM157" s="838"/>
      <c r="AN157" s="838"/>
      <c r="AO157" s="838"/>
      <c r="AP157" s="838"/>
      <c r="AQ157" s="838"/>
      <c r="AR157" s="838"/>
      <c r="AS157" s="838"/>
      <c r="AT157" s="838"/>
    </row>
    <row r="158" spans="1:46" ht="13" x14ac:dyDescent="0.3">
      <c r="A158" s="374"/>
      <c r="B158" s="851" t="s">
        <v>626</v>
      </c>
      <c r="C158" s="885"/>
      <c r="D158" s="885"/>
      <c r="E158" s="885"/>
      <c r="F158" s="847"/>
      <c r="G158" s="885"/>
      <c r="H158" s="885"/>
      <c r="I158" s="847"/>
      <c r="J158" s="847"/>
      <c r="K158" s="158"/>
      <c r="L158" s="235">
        <f>M158+N158</f>
        <v>60000</v>
      </c>
      <c r="M158" s="198">
        <v>30000</v>
      </c>
      <c r="N158" s="198">
        <v>30000</v>
      </c>
      <c r="O158" s="339">
        <f>P158+Q158</f>
        <v>49789.979999999996</v>
      </c>
      <c r="P158" s="381">
        <f>31180.7+1950+1626.5+49.5+200+3637.17+1620+1279</f>
        <v>41542.869999999995</v>
      </c>
      <c r="Q158" s="381">
        <f>585+1500+500+400+385.5+300+1797.61+1500+1279</f>
        <v>8247.11</v>
      </c>
      <c r="R158" s="226">
        <f>O158/10/30586</f>
        <v>0.16278683057608054</v>
      </c>
      <c r="S158" s="235" t="e">
        <f>U158+#REF!</f>
        <v>#REF!</v>
      </c>
      <c r="T158" s="329" t="e">
        <f>U158+#REF!</f>
        <v>#REF!</v>
      </c>
      <c r="U158" s="383">
        <v>55390.5</v>
      </c>
      <c r="V158" s="854">
        <f>W158+X158</f>
        <v>50000</v>
      </c>
      <c r="W158" s="456">
        <f>X158+Y158</f>
        <v>25000</v>
      </c>
      <c r="X158" s="225">
        <v>25000</v>
      </c>
      <c r="Y158" s="200"/>
      <c r="Z158" s="1077"/>
      <c r="AA158" s="1078"/>
      <c r="AB158" s="838"/>
      <c r="AC158" s="838"/>
      <c r="AD158" s="838"/>
      <c r="AE158" s="838"/>
      <c r="AF158" s="838"/>
      <c r="AG158" s="838"/>
      <c r="AH158" s="838"/>
      <c r="AI158" s="838"/>
      <c r="AJ158" s="838"/>
      <c r="AK158" s="838"/>
      <c r="AL158" s="838"/>
      <c r="AM158" s="838"/>
      <c r="AN158" s="838"/>
      <c r="AO158" s="838"/>
      <c r="AP158" s="838"/>
      <c r="AQ158" s="838"/>
      <c r="AR158" s="838"/>
      <c r="AS158" s="838"/>
      <c r="AT158" s="838"/>
    </row>
    <row r="159" spans="1:46" ht="12" customHeight="1" thickBot="1" x14ac:dyDescent="0.35">
      <c r="A159" s="374"/>
      <c r="B159" s="377" t="s">
        <v>114</v>
      </c>
      <c r="C159" s="158"/>
      <c r="D159" s="158"/>
      <c r="E159" s="158"/>
      <c r="F159" s="189"/>
      <c r="G159" s="158"/>
      <c r="H159" s="158"/>
      <c r="I159" s="189"/>
      <c r="J159" s="189"/>
      <c r="K159" s="158"/>
      <c r="L159" s="165"/>
      <c r="M159" s="198"/>
      <c r="N159" s="198"/>
      <c r="O159" s="165"/>
      <c r="P159" s="198"/>
      <c r="Q159" s="198"/>
      <c r="R159" s="240"/>
      <c r="S159" s="165"/>
      <c r="T159" s="246"/>
      <c r="U159" s="252"/>
      <c r="V159" s="875"/>
      <c r="W159" s="901"/>
      <c r="X159" s="875"/>
      <c r="Y159" s="200"/>
      <c r="Z159" s="1080"/>
      <c r="AA159" s="593"/>
      <c r="AB159" s="838"/>
      <c r="AC159" s="838"/>
      <c r="AD159" s="838"/>
      <c r="AE159" s="838"/>
      <c r="AF159" s="838"/>
      <c r="AG159" s="838"/>
      <c r="AH159" s="838"/>
      <c r="AI159" s="838"/>
      <c r="AJ159" s="838"/>
      <c r="AK159" s="838"/>
      <c r="AL159" s="838"/>
      <c r="AM159" s="838"/>
      <c r="AN159" s="838"/>
      <c r="AO159" s="838"/>
      <c r="AP159" s="838"/>
      <c r="AQ159" s="838"/>
      <c r="AR159" s="838"/>
      <c r="AS159" s="838"/>
      <c r="AT159" s="838"/>
    </row>
    <row r="160" spans="1:46" ht="15" customHeight="1" thickBot="1" x14ac:dyDescent="0.4">
      <c r="A160" s="374"/>
      <c r="B160" s="869" t="s">
        <v>277</v>
      </c>
      <c r="C160" s="847"/>
      <c r="D160" s="847"/>
      <c r="E160" s="847"/>
      <c r="F160" s="18"/>
      <c r="G160" s="321"/>
      <c r="H160" s="321"/>
      <c r="I160" s="148"/>
      <c r="K160" s="385"/>
      <c r="L160" s="386"/>
      <c r="M160" s="387"/>
      <c r="N160" s="387"/>
      <c r="O160" s="386"/>
      <c r="P160" s="387"/>
      <c r="Q160" s="387"/>
      <c r="R160" s="388"/>
      <c r="S160" s="386"/>
      <c r="T160" s="386"/>
      <c r="U160" s="387"/>
      <c r="V160" s="1692">
        <f>W160+X160</f>
        <v>2</v>
      </c>
      <c r="W160" s="1693">
        <v>1</v>
      </c>
      <c r="X160" s="1692">
        <v>1</v>
      </c>
      <c r="Y160" s="200"/>
      <c r="Z160" s="1075"/>
      <c r="AA160" s="593"/>
      <c r="AB160" s="838"/>
      <c r="AC160" s="838"/>
      <c r="AD160" s="838"/>
      <c r="AE160" s="838"/>
      <c r="AF160" s="838"/>
      <c r="AG160" s="838"/>
      <c r="AH160" s="838"/>
      <c r="AI160" s="838"/>
      <c r="AJ160" s="838"/>
      <c r="AK160" s="838"/>
      <c r="AL160" s="838"/>
      <c r="AM160" s="838"/>
      <c r="AN160" s="838"/>
      <c r="AO160" s="838"/>
      <c r="AP160" s="838"/>
      <c r="AQ160" s="838"/>
      <c r="AR160" s="838"/>
      <c r="AS160" s="838"/>
      <c r="AT160" s="838"/>
    </row>
    <row r="161" spans="1:46" ht="15" customHeight="1" x14ac:dyDescent="0.3">
      <c r="A161" s="374"/>
      <c r="B161" s="869" t="s">
        <v>278</v>
      </c>
      <c r="C161" s="847" t="s">
        <v>304</v>
      </c>
      <c r="D161" s="847"/>
      <c r="E161" s="847"/>
      <c r="F161" s="847"/>
      <c r="G161" s="847"/>
      <c r="H161" s="847"/>
      <c r="I161" s="580" t="s">
        <v>628</v>
      </c>
      <c r="J161" s="580" t="s">
        <v>627</v>
      </c>
      <c r="K161" s="321"/>
      <c r="L161" s="386"/>
      <c r="M161" s="387"/>
      <c r="N161" s="387"/>
      <c r="O161" s="386"/>
      <c r="P161" s="387"/>
      <c r="Q161" s="387"/>
      <c r="R161" s="388"/>
      <c r="S161" s="386"/>
      <c r="T161" s="386"/>
      <c r="U161" s="387"/>
      <c r="V161" s="854">
        <f>W161+X161</f>
        <v>0</v>
      </c>
      <c r="W161" s="416">
        <v>0</v>
      </c>
      <c r="X161" s="854">
        <v>0</v>
      </c>
      <c r="Y161" s="200"/>
      <c r="Z161" s="1075"/>
      <c r="AA161" s="1161"/>
      <c r="AB161" s="838"/>
      <c r="AC161" s="838"/>
      <c r="AD161" s="838"/>
      <c r="AE161" s="838"/>
      <c r="AF161" s="838"/>
      <c r="AG161" s="838"/>
      <c r="AH161" s="838"/>
      <c r="AI161" s="838"/>
      <c r="AJ161" s="838"/>
      <c r="AK161" s="838"/>
      <c r="AL161" s="838"/>
      <c r="AM161" s="838"/>
      <c r="AN161" s="838"/>
      <c r="AO161" s="838"/>
      <c r="AP161" s="838"/>
      <c r="AQ161" s="838"/>
      <c r="AR161" s="838"/>
      <c r="AS161" s="838"/>
      <c r="AT161" s="838"/>
    </row>
    <row r="162" spans="1:46" ht="15" customHeight="1" x14ac:dyDescent="0.3">
      <c r="A162" s="374"/>
      <c r="B162" s="887" t="s">
        <v>279</v>
      </c>
      <c r="C162" s="847"/>
      <c r="D162" s="847"/>
      <c r="E162" s="847"/>
      <c r="F162" s="847"/>
      <c r="G162" s="847"/>
      <c r="H162" s="847"/>
      <c r="I162" s="847"/>
      <c r="J162" s="847"/>
      <c r="K162" s="321"/>
      <c r="L162" s="386"/>
      <c r="M162" s="387"/>
      <c r="N162" s="387"/>
      <c r="O162" s="386"/>
      <c r="P162" s="387"/>
      <c r="Q162" s="387"/>
      <c r="R162" s="388"/>
      <c r="S162" s="386"/>
      <c r="T162" s="386"/>
      <c r="U162" s="387"/>
      <c r="V162" s="854">
        <f>W162+X162</f>
        <v>0</v>
      </c>
      <c r="W162" s="416">
        <v>0</v>
      </c>
      <c r="X162" s="854">
        <v>0</v>
      </c>
      <c r="Y162" s="200"/>
      <c r="Z162" s="1075"/>
      <c r="AA162" s="1161"/>
      <c r="AB162" s="838"/>
      <c r="AC162" s="838"/>
      <c r="AD162" s="838"/>
      <c r="AE162" s="838"/>
      <c r="AF162" s="838"/>
      <c r="AG162" s="838"/>
      <c r="AH162" s="838"/>
      <c r="AI162" s="838"/>
      <c r="AJ162" s="838"/>
      <c r="AK162" s="838"/>
      <c r="AL162" s="838"/>
      <c r="AM162" s="838"/>
      <c r="AN162" s="838"/>
      <c r="AO162" s="838"/>
      <c r="AP162" s="838"/>
      <c r="AQ162" s="838"/>
      <c r="AR162" s="838"/>
      <c r="AS162" s="838"/>
      <c r="AT162" s="838"/>
    </row>
    <row r="163" spans="1:46" ht="15" customHeight="1" x14ac:dyDescent="0.3">
      <c r="A163" s="374"/>
      <c r="B163" s="887" t="s">
        <v>280</v>
      </c>
      <c r="C163" s="847"/>
      <c r="D163" s="847"/>
      <c r="E163" s="847"/>
      <c r="F163" s="847"/>
      <c r="G163" s="847"/>
      <c r="H163" s="847"/>
      <c r="I163" s="847"/>
      <c r="J163" s="847"/>
      <c r="K163" s="321"/>
      <c r="L163" s="386"/>
      <c r="M163" s="387"/>
      <c r="N163" s="387"/>
      <c r="O163" s="386"/>
      <c r="P163" s="387"/>
      <c r="Q163" s="387"/>
      <c r="R163" s="388"/>
      <c r="S163" s="386"/>
      <c r="T163" s="386"/>
      <c r="U163" s="387"/>
      <c r="V163" s="854">
        <f>W163+X163</f>
        <v>0</v>
      </c>
      <c r="W163" s="416">
        <v>0</v>
      </c>
      <c r="X163" s="854">
        <v>0</v>
      </c>
      <c r="Y163" s="200"/>
      <c r="Z163" s="1075"/>
      <c r="AA163" s="593"/>
      <c r="AB163" s="838"/>
      <c r="AC163" s="838"/>
      <c r="AD163" s="838"/>
      <c r="AE163" s="838"/>
      <c r="AF163" s="838"/>
      <c r="AG163" s="838"/>
      <c r="AH163" s="838"/>
      <c r="AI163" s="838"/>
      <c r="AJ163" s="838"/>
      <c r="AK163" s="838"/>
      <c r="AL163" s="838"/>
      <c r="AM163" s="838"/>
      <c r="AN163" s="838"/>
      <c r="AO163" s="838"/>
      <c r="AP163" s="838"/>
      <c r="AQ163" s="838"/>
      <c r="AR163" s="838"/>
      <c r="AS163" s="838"/>
      <c r="AT163" s="838"/>
    </row>
    <row r="164" spans="1:46" ht="10.5" customHeight="1" x14ac:dyDescent="0.3">
      <c r="A164" s="374"/>
      <c r="B164" s="883" t="s">
        <v>115</v>
      </c>
      <c r="C164" s="321"/>
      <c r="D164" s="321"/>
      <c r="E164" s="321"/>
      <c r="F164" s="321"/>
      <c r="G164" s="321"/>
      <c r="H164" s="321"/>
      <c r="I164" s="158"/>
      <c r="J164" s="158"/>
      <c r="K164" s="158"/>
      <c r="L164" s="235">
        <f>M164+N164</f>
        <v>50000</v>
      </c>
      <c r="M164" s="198">
        <v>30000</v>
      </c>
      <c r="N164" s="198">
        <v>20000</v>
      </c>
      <c r="O164" s="235">
        <f>P164+Q164</f>
        <v>144189.65</v>
      </c>
      <c r="P164" s="198">
        <f>P165+P166+P167+P171</f>
        <v>67432.399999999994</v>
      </c>
      <c r="Q164" s="198">
        <f>Q165+Q166+Q167+Q171</f>
        <v>76757.25</v>
      </c>
      <c r="R164" s="291">
        <f>R165+R167+R171</f>
        <v>0.47142369057738831</v>
      </c>
      <c r="S164" s="235" t="e">
        <f>U164+#REF!</f>
        <v>#REF!</v>
      </c>
      <c r="T164" s="329" t="e">
        <f>U164+#REF!</f>
        <v>#REF!</v>
      </c>
      <c r="U164" s="383">
        <v>67500</v>
      </c>
      <c r="V164" s="854">
        <f>V165+V166+V167+V168+V169+V170+V171</f>
        <v>215000</v>
      </c>
      <c r="W164" s="416">
        <f>W165+W166+W167+W168+W169+W170+W171</f>
        <v>100000</v>
      </c>
      <c r="X164" s="416">
        <f>X165+X166+X167+X168+X169+X170+X171</f>
        <v>115000</v>
      </c>
      <c r="Y164" s="200"/>
      <c r="Z164" s="1081"/>
      <c r="AA164" s="1081"/>
      <c r="AB164" s="838"/>
      <c r="AC164" s="838"/>
      <c r="AD164" s="838"/>
      <c r="AE164" s="838"/>
      <c r="AF164" s="838"/>
      <c r="AG164" s="838"/>
      <c r="AH164" s="838"/>
      <c r="AI164" s="838"/>
      <c r="AJ164" s="838"/>
      <c r="AK164" s="838"/>
      <c r="AL164" s="838"/>
      <c r="AM164" s="838"/>
      <c r="AN164" s="838"/>
      <c r="AO164" s="838"/>
      <c r="AP164" s="838"/>
      <c r="AQ164" s="838"/>
      <c r="AR164" s="838"/>
      <c r="AS164" s="838"/>
      <c r="AT164" s="838"/>
    </row>
    <row r="165" spans="1:46" ht="12" customHeight="1" x14ac:dyDescent="0.3">
      <c r="A165" s="374"/>
      <c r="B165" s="941" t="s">
        <v>116</v>
      </c>
      <c r="C165" s="321"/>
      <c r="D165" s="321"/>
      <c r="E165" s="321"/>
      <c r="F165" s="321"/>
      <c r="G165" s="321"/>
      <c r="H165" s="321"/>
      <c r="I165" s="885"/>
      <c r="J165" s="158"/>
      <c r="K165" s="158"/>
      <c r="L165" s="235">
        <f>M165+N165</f>
        <v>10000</v>
      </c>
      <c r="M165" s="198">
        <v>10000</v>
      </c>
      <c r="N165" s="198"/>
      <c r="O165" s="389">
        <f>P165+Q165</f>
        <v>12500</v>
      </c>
      <c r="P165" s="381">
        <v>9500</v>
      </c>
      <c r="Q165" s="381">
        <v>3000</v>
      </c>
      <c r="R165" s="240">
        <f>O165/10/30586</f>
        <v>4.0868371150199437E-2</v>
      </c>
      <c r="S165" s="165" t="e">
        <f>U165+#REF!</f>
        <v>#REF!</v>
      </c>
      <c r="T165" s="389" t="e">
        <f>U165+#REF!</f>
        <v>#REF!</v>
      </c>
      <c r="U165" s="381">
        <v>9500</v>
      </c>
      <c r="V165" s="1566">
        <f t="shared" ref="V165:V171" si="9">W165+X165</f>
        <v>40000</v>
      </c>
      <c r="W165" s="1563">
        <v>20000</v>
      </c>
      <c r="X165" s="1566">
        <v>20000</v>
      </c>
      <c r="Y165" s="200"/>
      <c r="Z165" s="1082"/>
      <c r="AA165" s="1083"/>
      <c r="AB165" s="838"/>
      <c r="AC165" s="838"/>
      <c r="AD165" s="838"/>
      <c r="AE165" s="838"/>
      <c r="AF165" s="838"/>
      <c r="AG165" s="838"/>
      <c r="AH165" s="838"/>
      <c r="AI165" s="838"/>
      <c r="AJ165" s="838"/>
      <c r="AK165" s="838"/>
      <c r="AL165" s="838"/>
      <c r="AM165" s="838"/>
      <c r="AN165" s="838"/>
      <c r="AO165" s="838"/>
      <c r="AP165" s="838"/>
      <c r="AQ165" s="838"/>
      <c r="AR165" s="838"/>
      <c r="AS165" s="838"/>
      <c r="AT165" s="838"/>
    </row>
    <row r="166" spans="1:46" ht="12" customHeight="1" x14ac:dyDescent="0.3">
      <c r="A166" s="374"/>
      <c r="B166" s="1835" t="s">
        <v>356</v>
      </c>
      <c r="C166" s="1784"/>
      <c r="D166" s="1784"/>
      <c r="E166" s="1784"/>
      <c r="F166" s="1784"/>
      <c r="G166" s="1784"/>
      <c r="H166" s="1784"/>
      <c r="I166" s="1784"/>
      <c r="J166" s="1784"/>
      <c r="K166" s="1784"/>
      <c r="L166" s="1836"/>
      <c r="M166" s="198"/>
      <c r="N166" s="198"/>
      <c r="O166" s="165"/>
      <c r="P166" s="198"/>
      <c r="Q166" s="198"/>
      <c r="R166" s="240"/>
      <c r="S166" s="165"/>
      <c r="T166" s="246"/>
      <c r="U166" s="252"/>
      <c r="V166" s="1567">
        <f t="shared" si="9"/>
        <v>75000</v>
      </c>
      <c r="W166" s="1694">
        <v>45000</v>
      </c>
      <c r="X166" s="1567">
        <v>30000</v>
      </c>
      <c r="Y166" s="200"/>
      <c r="Z166" s="1082"/>
      <c r="AA166" s="1084"/>
      <c r="AB166" s="838"/>
      <c r="AC166" s="838"/>
      <c r="AD166" s="838"/>
      <c r="AE166" s="838"/>
      <c r="AF166" s="838"/>
      <c r="AG166" s="838"/>
      <c r="AH166" s="838"/>
      <c r="AI166" s="838"/>
      <c r="AJ166" s="838"/>
      <c r="AK166" s="838"/>
      <c r="AL166" s="838"/>
      <c r="AM166" s="838"/>
      <c r="AN166" s="838"/>
      <c r="AO166" s="838"/>
      <c r="AP166" s="838"/>
      <c r="AQ166" s="838"/>
      <c r="AR166" s="838"/>
      <c r="AS166" s="838"/>
      <c r="AT166" s="838"/>
    </row>
    <row r="167" spans="1:46" ht="12" customHeight="1" x14ac:dyDescent="0.3">
      <c r="A167" s="374"/>
      <c r="B167" s="65" t="s">
        <v>117</v>
      </c>
      <c r="C167" s="158"/>
      <c r="D167" s="158"/>
      <c r="E167" s="158"/>
      <c r="F167" s="158"/>
      <c r="G167" s="158"/>
      <c r="H167" s="189"/>
      <c r="I167" s="158"/>
      <c r="J167" s="885" t="s">
        <v>344</v>
      </c>
      <c r="K167" s="158"/>
      <c r="L167" s="235">
        <f>M167+N167</f>
        <v>30000</v>
      </c>
      <c r="M167" s="198">
        <v>15000</v>
      </c>
      <c r="N167" s="198">
        <v>15000</v>
      </c>
      <c r="O167" s="391">
        <f>P167+Q167</f>
        <v>92944.15</v>
      </c>
      <c r="P167" s="383">
        <f>4950+21000+609+8500+6342.33+7700+1274.07+1950+1515</f>
        <v>53840.4</v>
      </c>
      <c r="Q167" s="383">
        <f>3550+402+209+1563.5+10400+9900+1879.25+3150+3400+750+3900</f>
        <v>39103.75</v>
      </c>
      <c r="R167" s="240">
        <f>O167/10/30586</f>
        <v>0.30387808147518469</v>
      </c>
      <c r="S167" s="165" t="e">
        <f>U167+#REF!</f>
        <v>#REF!</v>
      </c>
      <c r="T167" s="391" t="e">
        <f>U167+#REF!</f>
        <v>#REF!</v>
      </c>
      <c r="U167" s="383">
        <v>53840.4</v>
      </c>
      <c r="V167" s="875">
        <f t="shared" si="9"/>
        <v>40000</v>
      </c>
      <c r="W167" s="901">
        <v>20000</v>
      </c>
      <c r="X167" s="875">
        <v>20000</v>
      </c>
      <c r="Y167" s="200"/>
      <c r="Z167" s="1082"/>
      <c r="AA167" s="1084"/>
      <c r="AB167" s="304"/>
      <c r="AC167" s="392"/>
      <c r="AD167" s="838"/>
      <c r="AE167" s="838"/>
      <c r="AF167" s="838"/>
      <c r="AG167" s="893"/>
      <c r="AH167" s="838"/>
      <c r="AI167" s="838"/>
      <c r="AJ167" s="838"/>
      <c r="AK167" s="838"/>
      <c r="AL167" s="838"/>
      <c r="AM167" s="838"/>
      <c r="AN167" s="838"/>
      <c r="AO167" s="838"/>
      <c r="AP167" s="838"/>
      <c r="AQ167" s="838"/>
      <c r="AR167" s="838"/>
      <c r="AS167" s="838"/>
      <c r="AT167" s="838"/>
    </row>
    <row r="168" spans="1:46" ht="18" customHeight="1" thickBot="1" x14ac:dyDescent="0.4">
      <c r="A168" s="397"/>
      <c r="B168" s="1690" t="s">
        <v>118</v>
      </c>
      <c r="C168" s="885"/>
      <c r="D168" s="885"/>
      <c r="E168" s="885"/>
      <c r="F168" s="885"/>
      <c r="G168" s="885"/>
      <c r="H168" s="847"/>
      <c r="I168" s="885"/>
      <c r="J168" s="885"/>
      <c r="K168" s="158"/>
      <c r="L168" s="394"/>
      <c r="M168" s="236"/>
      <c r="N168" s="236"/>
      <c r="O168" s="391"/>
      <c r="P168" s="395"/>
      <c r="Q168" s="395"/>
      <c r="R168" s="240"/>
      <c r="S168" s="165"/>
      <c r="T168" s="391"/>
      <c r="U168" s="395"/>
      <c r="V168" s="875">
        <f t="shared" si="9"/>
        <v>0</v>
      </c>
      <c r="W168" s="1695">
        <v>0</v>
      </c>
      <c r="X168" s="1696">
        <v>0</v>
      </c>
      <c r="Y168" s="396"/>
      <c r="Z168" s="1082"/>
      <c r="AA168" s="1084"/>
      <c r="AB168" s="838"/>
      <c r="AC168" s="838"/>
      <c r="AD168" s="838"/>
      <c r="AE168" s="838"/>
      <c r="AF168" s="838"/>
      <c r="AG168" s="838"/>
      <c r="AH168" s="838"/>
      <c r="AI168" s="838"/>
      <c r="AJ168" s="838"/>
      <c r="AK168" s="838"/>
      <c r="AL168" s="838"/>
      <c r="AM168" s="838"/>
      <c r="AN168" s="838"/>
      <c r="AO168" s="838"/>
      <c r="AP168" s="838"/>
      <c r="AQ168" s="838"/>
      <c r="AR168" s="838"/>
      <c r="AS168" s="838"/>
      <c r="AT168" s="838"/>
    </row>
    <row r="169" spans="1:46" ht="12" customHeight="1" x14ac:dyDescent="0.3">
      <c r="A169" s="374"/>
      <c r="B169" s="869" t="s">
        <v>629</v>
      </c>
      <c r="C169" s="885"/>
      <c r="D169" s="885"/>
      <c r="E169" s="885"/>
      <c r="F169" s="885"/>
      <c r="G169" s="885"/>
      <c r="H169" s="847"/>
      <c r="I169" s="885"/>
      <c r="J169" s="1691"/>
      <c r="K169" s="158"/>
      <c r="L169" s="394"/>
      <c r="M169" s="236"/>
      <c r="N169" s="236"/>
      <c r="O169" s="391"/>
      <c r="P169" s="395"/>
      <c r="Q169" s="395"/>
      <c r="R169" s="240"/>
      <c r="S169" s="165"/>
      <c r="T169" s="391"/>
      <c r="U169" s="395"/>
      <c r="V169" s="875">
        <f t="shared" si="9"/>
        <v>30000</v>
      </c>
      <c r="W169" s="1563">
        <v>15000</v>
      </c>
      <c r="X169" s="1697">
        <v>15000</v>
      </c>
      <c r="Y169" s="396"/>
      <c r="Z169" s="1077"/>
      <c r="AA169" s="392"/>
      <c r="AB169" s="838"/>
      <c r="AC169" s="838"/>
      <c r="AD169" s="838"/>
      <c r="AE169" s="838"/>
      <c r="AF169" s="838"/>
      <c r="AG169" s="838"/>
      <c r="AH169" s="838"/>
      <c r="AI169" s="838"/>
      <c r="AJ169" s="838"/>
      <c r="AK169" s="838"/>
      <c r="AL169" s="838"/>
      <c r="AM169" s="838"/>
      <c r="AN169" s="838"/>
      <c r="AO169" s="838"/>
      <c r="AP169" s="838"/>
      <c r="AQ169" s="838"/>
      <c r="AR169" s="838"/>
      <c r="AS169" s="838"/>
      <c r="AT169" s="838"/>
    </row>
    <row r="170" spans="1:46" ht="15.65" customHeight="1" x14ac:dyDescent="0.3">
      <c r="A170" s="374"/>
      <c r="B170" s="939" t="s">
        <v>630</v>
      </c>
      <c r="C170" s="885"/>
      <c r="D170" s="885"/>
      <c r="E170" s="885"/>
      <c r="F170" s="885"/>
      <c r="G170" s="885"/>
      <c r="H170" s="847"/>
      <c r="I170" s="885"/>
      <c r="J170" s="1691"/>
      <c r="K170" s="158"/>
      <c r="L170" s="394"/>
      <c r="M170" s="236"/>
      <c r="N170" s="236"/>
      <c r="O170" s="391"/>
      <c r="P170" s="395"/>
      <c r="Q170" s="395"/>
      <c r="R170" s="240"/>
      <c r="S170" s="165"/>
      <c r="T170" s="391"/>
      <c r="U170" s="395"/>
      <c r="V170" s="875">
        <f t="shared" si="9"/>
        <v>30000</v>
      </c>
      <c r="W170" s="1563">
        <v>0</v>
      </c>
      <c r="X170" s="1697">
        <v>30000</v>
      </c>
      <c r="Y170" s="396"/>
      <c r="Z170" s="304"/>
      <c r="AA170" s="392"/>
      <c r="AB170" s="838"/>
      <c r="AC170" s="838"/>
      <c r="AD170" s="838"/>
      <c r="AE170" s="838"/>
      <c r="AF170" s="838"/>
      <c r="AG170" s="838"/>
      <c r="AH170" s="838"/>
      <c r="AI170" s="838"/>
      <c r="AJ170" s="838"/>
      <c r="AK170" s="838"/>
      <c r="AL170" s="838"/>
      <c r="AM170" s="838"/>
      <c r="AN170" s="838"/>
      <c r="AO170" s="838"/>
      <c r="AP170" s="838"/>
      <c r="AQ170" s="838"/>
      <c r="AR170" s="838"/>
      <c r="AS170" s="838"/>
      <c r="AT170" s="838"/>
    </row>
    <row r="171" spans="1:46" ht="12.75" customHeight="1" thickBot="1" x14ac:dyDescent="0.35">
      <c r="A171" s="374"/>
      <c r="B171" s="940" t="s">
        <v>282</v>
      </c>
      <c r="C171" s="892"/>
      <c r="D171" s="892"/>
      <c r="E171" s="399"/>
      <c r="F171" s="211"/>
      <c r="G171" s="938"/>
      <c r="H171" s="848"/>
      <c r="I171" s="844"/>
      <c r="J171" s="879"/>
      <c r="K171" s="400" t="s">
        <v>120</v>
      </c>
      <c r="L171" s="401" t="s">
        <v>121</v>
      </c>
      <c r="M171" s="213"/>
      <c r="N171" s="213"/>
      <c r="O171" s="391">
        <f>P171+Q171</f>
        <v>38745.5</v>
      </c>
      <c r="P171" s="349">
        <f>4092</f>
        <v>4092</v>
      </c>
      <c r="Q171" s="349">
        <f>13312.5+21341</f>
        <v>34653.5</v>
      </c>
      <c r="R171" s="240">
        <f>O171/10/30586</f>
        <v>0.1266772379520042</v>
      </c>
      <c r="S171" s="165" t="e">
        <f>U171+#REF!</f>
        <v>#REF!</v>
      </c>
      <c r="T171" s="391" t="e">
        <f>U171+#REF!</f>
        <v>#REF!</v>
      </c>
      <c r="U171" s="347">
        <v>4092</v>
      </c>
      <c r="V171" s="875">
        <f t="shared" si="9"/>
        <v>0</v>
      </c>
      <c r="W171" s="901">
        <v>0</v>
      </c>
      <c r="X171" s="908">
        <v>0</v>
      </c>
      <c r="Y171" s="215"/>
      <c r="Z171" s="242"/>
      <c r="AA171" s="838"/>
      <c r="AB171" s="838"/>
      <c r="AC171" s="838"/>
      <c r="AD171" s="838"/>
      <c r="AE171" s="838"/>
      <c r="AF171" s="838"/>
      <c r="AG171" s="838"/>
      <c r="AH171" s="838"/>
      <c r="AI171" s="838"/>
      <c r="AJ171" s="838"/>
      <c r="AK171" s="838"/>
      <c r="AL171" s="838"/>
      <c r="AM171" s="838"/>
      <c r="AN171" s="838"/>
      <c r="AO171" s="838"/>
      <c r="AP171" s="838"/>
      <c r="AQ171" s="838"/>
      <c r="AR171" s="838"/>
      <c r="AS171" s="838"/>
      <c r="AT171" s="838"/>
    </row>
    <row r="172" spans="1:46" ht="5.25" hidden="1" customHeight="1" x14ac:dyDescent="0.3">
      <c r="A172" s="23"/>
      <c r="B172" s="926"/>
      <c r="C172" s="158"/>
      <c r="D172" s="158"/>
      <c r="E172" s="158"/>
      <c r="F172" s="189"/>
      <c r="G172" s="158"/>
      <c r="H172" s="158"/>
      <c r="I172" s="189"/>
      <c r="J172" s="189"/>
      <c r="K172" s="158"/>
      <c r="L172" s="403"/>
      <c r="M172" s="257"/>
      <c r="N172" s="257"/>
      <c r="O172" s="404"/>
      <c r="P172" s="245"/>
      <c r="Q172" s="245"/>
      <c r="R172" s="405"/>
      <c r="S172" s="403"/>
      <c r="T172" s="406"/>
      <c r="U172" s="245"/>
      <c r="V172" s="403"/>
      <c r="W172" s="403"/>
      <c r="X172" s="245"/>
      <c r="Y172" s="248"/>
      <c r="Z172" s="242"/>
      <c r="AA172" s="838"/>
      <c r="AB172" s="838"/>
      <c r="AC172" s="838"/>
      <c r="AD172" s="838"/>
      <c r="AE172" s="838"/>
      <c r="AF172" s="838"/>
      <c r="AG172" s="838"/>
      <c r="AH172" s="838"/>
      <c r="AI172" s="838"/>
      <c r="AJ172" s="838"/>
      <c r="AK172" s="838"/>
      <c r="AL172" s="838"/>
      <c r="AM172" s="838"/>
      <c r="AN172" s="838"/>
      <c r="AO172" s="838"/>
      <c r="AP172" s="838"/>
      <c r="AQ172" s="838"/>
      <c r="AR172" s="838"/>
      <c r="AS172" s="838"/>
      <c r="AT172" s="838"/>
    </row>
    <row r="173" spans="1:46" ht="12" hidden="1" customHeight="1" x14ac:dyDescent="0.3">
      <c r="A173" s="23"/>
      <c r="B173" s="926"/>
      <c r="C173" s="158"/>
      <c r="D173" s="158"/>
      <c r="E173" s="158"/>
      <c r="F173" s="189"/>
      <c r="G173" s="158"/>
      <c r="H173" s="158"/>
      <c r="I173" s="189"/>
      <c r="J173" s="189"/>
      <c r="K173" s="158"/>
      <c r="L173" s="165"/>
      <c r="M173" s="198"/>
      <c r="N173" s="198"/>
      <c r="O173" s="323"/>
      <c r="P173" s="252"/>
      <c r="Q173" s="252"/>
      <c r="R173" s="240"/>
      <c r="S173" s="165"/>
      <c r="T173" s="246"/>
      <c r="U173" s="252"/>
      <c r="V173" s="165"/>
      <c r="W173" s="165"/>
      <c r="X173" s="252"/>
      <c r="Y173" s="200"/>
      <c r="Z173" s="242"/>
      <c r="AA173" s="838"/>
      <c r="AB173" s="838"/>
      <c r="AC173" s="838"/>
      <c r="AD173" s="838"/>
      <c r="AE173" s="838"/>
      <c r="AF173" s="838"/>
      <c r="AG173" s="838"/>
      <c r="AH173" s="838"/>
      <c r="AI173" s="838"/>
      <c r="AJ173" s="838"/>
      <c r="AK173" s="838"/>
      <c r="AL173" s="838"/>
      <c r="AM173" s="838"/>
      <c r="AN173" s="838"/>
      <c r="AO173" s="838"/>
      <c r="AP173" s="838"/>
      <c r="AQ173" s="838"/>
      <c r="AR173" s="838"/>
      <c r="AS173" s="838"/>
      <c r="AT173" s="838"/>
    </row>
    <row r="174" spans="1:46" ht="12" hidden="1" customHeight="1" x14ac:dyDescent="0.3">
      <c r="A174" s="23"/>
      <c r="B174" s="926"/>
      <c r="C174" s="158"/>
      <c r="D174" s="158"/>
      <c r="E174" s="158"/>
      <c r="F174" s="189"/>
      <c r="G174" s="158"/>
      <c r="H174" s="158"/>
      <c r="I174" s="189"/>
      <c r="J174" s="189"/>
      <c r="K174" s="158"/>
      <c r="L174" s="307"/>
      <c r="M174" s="236"/>
      <c r="N174" s="236"/>
      <c r="O174" s="407"/>
      <c r="P174" s="338"/>
      <c r="Q174" s="338"/>
      <c r="R174" s="408"/>
      <c r="S174" s="307"/>
      <c r="T174" s="409"/>
      <c r="U174" s="338"/>
      <c r="V174" s="307"/>
      <c r="W174" s="307"/>
      <c r="X174" s="338"/>
      <c r="Y174" s="396"/>
      <c r="Z174" s="242"/>
      <c r="AA174" s="838"/>
      <c r="AB174" s="838"/>
      <c r="AC174" s="838"/>
      <c r="AD174" s="838"/>
      <c r="AE174" s="838"/>
      <c r="AF174" s="838"/>
      <c r="AG174" s="838"/>
      <c r="AH174" s="838"/>
      <c r="AI174" s="838"/>
      <c r="AJ174" s="838"/>
      <c r="AK174" s="838"/>
      <c r="AL174" s="838"/>
      <c r="AM174" s="838"/>
      <c r="AN174" s="838"/>
      <c r="AO174" s="838"/>
      <c r="AP174" s="838"/>
      <c r="AQ174" s="838"/>
      <c r="AR174" s="838"/>
      <c r="AS174" s="838"/>
      <c r="AT174" s="838"/>
    </row>
    <row r="175" spans="1:46" ht="14" x14ac:dyDescent="0.3">
      <c r="A175" s="59"/>
      <c r="B175" s="927" t="s">
        <v>122</v>
      </c>
      <c r="C175" s="60"/>
      <c r="D175" s="60"/>
      <c r="E175" s="60"/>
      <c r="F175" s="60"/>
      <c r="G175" s="60"/>
      <c r="H175" s="60"/>
      <c r="I175" s="60"/>
      <c r="J175" s="60"/>
      <c r="K175" s="410"/>
      <c r="L175" s="411">
        <f>M175+N175</f>
        <v>4343735</v>
      </c>
      <c r="M175" s="412">
        <f>M177+M185+M192</f>
        <v>2171867.5</v>
      </c>
      <c r="N175" s="412">
        <f>N177+N185+N192</f>
        <v>2171867.5</v>
      </c>
      <c r="O175" s="411">
        <f>P175+Q175</f>
        <v>3164451.04</v>
      </c>
      <c r="P175" s="412">
        <f>P177+P185+P192</f>
        <v>1581936.7699999998</v>
      </c>
      <c r="Q175" s="412">
        <f>Q177+Q185+Q192</f>
        <v>1582514.27</v>
      </c>
      <c r="R175" s="413">
        <f>R177+R185+R192</f>
        <v>10.334836330347219</v>
      </c>
      <c r="S175" s="411">
        <f>R175/R238*100</f>
        <v>39.932126831733797</v>
      </c>
      <c r="T175" s="411" t="e">
        <f>U175+#REF!</f>
        <v>#REF!</v>
      </c>
      <c r="U175" s="412">
        <f>U177+U185+U192</f>
        <v>1898140.29</v>
      </c>
      <c r="V175" s="219">
        <f>W175+X175</f>
        <v>4871890.540000001</v>
      </c>
      <c r="W175" s="219">
        <f>W177+W185+W192</f>
        <v>2435945.2650000001</v>
      </c>
      <c r="X175" s="219">
        <f>X177+X185+X192</f>
        <v>2435945.2750000004</v>
      </c>
      <c r="Y175" s="414"/>
      <c r="Z175" s="382"/>
      <c r="AA175" s="838"/>
      <c r="AB175" s="838"/>
      <c r="AC175" s="838"/>
      <c r="AD175" s="838"/>
      <c r="AE175" s="838"/>
      <c r="AF175" s="838"/>
      <c r="AG175" s="838"/>
      <c r="AH175" s="838"/>
      <c r="AI175" s="838"/>
      <c r="AJ175" s="838"/>
      <c r="AK175" s="838"/>
      <c r="AL175" s="838"/>
      <c r="AM175" s="838"/>
      <c r="AN175" s="838"/>
      <c r="AO175" s="838"/>
      <c r="AP175" s="838"/>
      <c r="AQ175" s="838"/>
      <c r="AR175" s="838"/>
      <c r="AS175" s="838"/>
      <c r="AT175" s="838"/>
    </row>
    <row r="176" spans="1:46" ht="1.5" hidden="1" customHeight="1" x14ac:dyDescent="0.3">
      <c r="A176" s="374"/>
      <c r="B176" s="887"/>
      <c r="C176" s="885"/>
      <c r="D176" s="885"/>
      <c r="E176" s="885"/>
      <c r="F176" s="885"/>
      <c r="G176" s="885"/>
      <c r="H176" s="885"/>
      <c r="I176" s="885"/>
      <c r="J176" s="885"/>
      <c r="K176" s="885"/>
      <c r="L176" s="235"/>
      <c r="M176" s="233"/>
      <c r="N176" s="233"/>
      <c r="O176" s="235"/>
      <c r="P176" s="233"/>
      <c r="Q176" s="233"/>
      <c r="R176" s="297"/>
      <c r="S176" s="235"/>
      <c r="T176" s="235"/>
      <c r="U176" s="233"/>
      <c r="V176" s="233"/>
      <c r="W176" s="235"/>
      <c r="X176" s="233"/>
      <c r="Y176" s="415"/>
      <c r="Z176" s="382"/>
      <c r="AA176" s="838"/>
      <c r="AB176" s="838"/>
      <c r="AC176" s="838"/>
      <c r="AD176" s="838"/>
      <c r="AE176" s="838"/>
      <c r="AF176" s="838"/>
      <c r="AG176" s="838"/>
      <c r="AH176" s="838"/>
      <c r="AI176" s="838"/>
      <c r="AJ176" s="838"/>
      <c r="AK176" s="838"/>
      <c r="AL176" s="838"/>
      <c r="AM176" s="838"/>
      <c r="AN176" s="838"/>
      <c r="AO176" s="838"/>
      <c r="AP176" s="838"/>
      <c r="AQ176" s="838"/>
      <c r="AR176" s="838"/>
      <c r="AS176" s="838"/>
      <c r="AT176" s="838"/>
    </row>
    <row r="177" spans="1:46" ht="13" x14ac:dyDescent="0.3">
      <c r="A177" s="374"/>
      <c r="B177" s="869" t="s">
        <v>123</v>
      </c>
      <c r="C177" s="847"/>
      <c r="D177" s="847"/>
      <c r="E177" s="847"/>
      <c r="F177" s="847"/>
      <c r="G177" s="847"/>
      <c r="H177" s="847"/>
      <c r="I177" s="847"/>
      <c r="J177" s="229"/>
      <c r="K177" s="885"/>
      <c r="L177" s="1215">
        <f t="shared" ref="L177:L183" si="10">M177+N177</f>
        <v>4073735</v>
      </c>
      <c r="M177" s="225">
        <f>M178+M179+M180+M181+M183</f>
        <v>2036867.5</v>
      </c>
      <c r="N177" s="225">
        <f>N178+N179+N180+N181+N183</f>
        <v>2036867.5</v>
      </c>
      <c r="O177" s="1215">
        <f t="shared" ref="O177:O183" si="11">P177+Q177</f>
        <v>2746931.95</v>
      </c>
      <c r="P177" s="225">
        <f>P178+P179+P180+P181+P183</f>
        <v>1373465.97</v>
      </c>
      <c r="Q177" s="225">
        <f>Q178+Q179+Q180+Q181+Q183</f>
        <v>1373465.98</v>
      </c>
      <c r="R177" s="1711">
        <f>R178+R179+R180+R183</f>
        <v>8.9810107565552872</v>
      </c>
      <c r="S177" s="1215">
        <f>R177/R238*100</f>
        <v>34.701164986507564</v>
      </c>
      <c r="T177" s="1215" t="e">
        <f>U177+#REF!</f>
        <v>#REF!</v>
      </c>
      <c r="U177" s="225">
        <f>U178+U179+U180+U181+U183</f>
        <v>1661956.79</v>
      </c>
      <c r="V177" s="854">
        <f>V178+V179+V180+V181+V183+V182</f>
        <v>4268390.54</v>
      </c>
      <c r="W177" s="416">
        <f>W178+W179+W180+W181+W182+W183</f>
        <v>2134195.2650000001</v>
      </c>
      <c r="X177" s="854">
        <f>X178+X179+X180+X181+X183+X182</f>
        <v>2134195.2750000004</v>
      </c>
      <c r="Y177" s="417"/>
      <c r="Z177" s="1837"/>
      <c r="AA177" s="1808"/>
      <c r="AB177" s="1808"/>
      <c r="AC177" s="1808"/>
      <c r="AD177" s="1808"/>
      <c r="AE177" s="1808"/>
      <c r="AF177" s="1808"/>
      <c r="AG177" s="1808"/>
      <c r="AH177" s="838"/>
      <c r="AI177" s="838"/>
      <c r="AJ177" s="838"/>
      <c r="AK177" s="838"/>
      <c r="AL177" s="838"/>
      <c r="AM177" s="838"/>
      <c r="AN177" s="838"/>
      <c r="AO177" s="838"/>
      <c r="AP177" s="838"/>
      <c r="AQ177" s="838"/>
      <c r="AR177" s="838"/>
      <c r="AS177" s="838"/>
      <c r="AT177" s="838"/>
    </row>
    <row r="178" spans="1:46" ht="13" x14ac:dyDescent="0.3">
      <c r="A178" s="374"/>
      <c r="B178" s="887" t="s">
        <v>346</v>
      </c>
      <c r="C178" s="885"/>
      <c r="D178" s="885"/>
      <c r="E178" s="885"/>
      <c r="F178" s="882"/>
      <c r="G178" s="885"/>
      <c r="H178" s="885"/>
      <c r="I178" s="1238"/>
      <c r="J178" s="847"/>
      <c r="K178" s="885"/>
      <c r="L178" s="265">
        <f t="shared" si="10"/>
        <v>3704015</v>
      </c>
      <c r="M178" s="875">
        <v>1852007.5</v>
      </c>
      <c r="N178" s="875">
        <v>1852007.5</v>
      </c>
      <c r="O178" s="265">
        <f t="shared" si="11"/>
        <v>2435620.56</v>
      </c>
      <c r="P178" s="875">
        <v>1217810.28</v>
      </c>
      <c r="Q178" s="875">
        <v>1217810.28</v>
      </c>
      <c r="R178" s="375">
        <f>O178/10/30586</f>
        <v>7.9631876021709287</v>
      </c>
      <c r="S178" s="265" t="e">
        <f>U178+#REF!</f>
        <v>#REF!</v>
      </c>
      <c r="T178" s="265" t="e">
        <f>U178+#REF!</f>
        <v>#REF!</v>
      </c>
      <c r="U178" s="875">
        <v>1485561.79</v>
      </c>
      <c r="V178" s="231">
        <f>W178+X178</f>
        <v>2992796.89</v>
      </c>
      <c r="W178" s="418">
        <v>1496398.4450000001</v>
      </c>
      <c r="X178" s="418">
        <v>1496398.4450000001</v>
      </c>
      <c r="Y178" s="419"/>
      <c r="Z178" s="429"/>
      <c r="AA178" s="838"/>
      <c r="AB178" s="838"/>
      <c r="AC178" s="838"/>
      <c r="AD178" s="838"/>
      <c r="AE178" s="838"/>
      <c r="AF178" s="838"/>
      <c r="AG178" s="838"/>
      <c r="AH178" s="838"/>
      <c r="AI178" s="838"/>
      <c r="AJ178" s="838"/>
      <c r="AK178" s="838"/>
      <c r="AL178" s="838"/>
      <c r="AM178" s="838"/>
      <c r="AN178" s="838"/>
      <c r="AO178" s="838"/>
      <c r="AP178" s="838"/>
      <c r="AQ178" s="838"/>
      <c r="AR178" s="838"/>
      <c r="AS178" s="838"/>
      <c r="AT178" s="838"/>
    </row>
    <row r="179" spans="1:46" x14ac:dyDescent="0.25">
      <c r="A179" s="374"/>
      <c r="B179" s="887" t="s">
        <v>124</v>
      </c>
      <c r="C179" s="885"/>
      <c r="D179" s="885"/>
      <c r="E179" s="885"/>
      <c r="F179" s="885"/>
      <c r="G179" s="885"/>
      <c r="H179" s="885"/>
      <c r="I179" s="885"/>
      <c r="J179" s="885"/>
      <c r="K179" s="885"/>
      <c r="L179" s="265">
        <f t="shared" si="10"/>
        <v>0</v>
      </c>
      <c r="M179" s="875"/>
      <c r="N179" s="875"/>
      <c r="O179" s="265">
        <f t="shared" si="11"/>
        <v>13100.67</v>
      </c>
      <c r="P179" s="875">
        <v>6550.33</v>
      </c>
      <c r="Q179" s="875">
        <v>6550.34</v>
      </c>
      <c r="R179" s="375">
        <f>O179/10/30586</f>
        <v>4.2832243510102661E-2</v>
      </c>
      <c r="S179" s="265" t="e">
        <f>U179+#REF!</f>
        <v>#REF!</v>
      </c>
      <c r="T179" s="265" t="e">
        <f>U179+#REF!</f>
        <v>#REF!</v>
      </c>
      <c r="U179" s="875">
        <v>7860</v>
      </c>
      <c r="V179" s="875">
        <f>W179+X179</f>
        <v>15000</v>
      </c>
      <c r="W179" s="901">
        <v>7500</v>
      </c>
      <c r="X179" s="875">
        <v>7500</v>
      </c>
      <c r="Y179" s="419"/>
      <c r="Z179" s="242"/>
      <c r="AA179" s="838"/>
      <c r="AB179" s="838"/>
      <c r="AC179" s="838"/>
      <c r="AD179" s="838"/>
      <c r="AE179" s="838"/>
      <c r="AF179" s="838"/>
      <c r="AG179" s="838"/>
      <c r="AH179" s="838"/>
      <c r="AI179" s="838"/>
      <c r="AJ179" s="838"/>
      <c r="AK179" s="838"/>
      <c r="AL179" s="838"/>
      <c r="AM179" s="838"/>
      <c r="AN179" s="838"/>
      <c r="AO179" s="838"/>
      <c r="AP179" s="838"/>
      <c r="AQ179" s="838"/>
      <c r="AR179" s="838"/>
      <c r="AS179" s="838"/>
      <c r="AT179" s="838"/>
    </row>
    <row r="180" spans="1:46" ht="13" x14ac:dyDescent="0.3">
      <c r="A180" s="374"/>
      <c r="B180" s="887" t="s">
        <v>125</v>
      </c>
      <c r="C180" s="885"/>
      <c r="D180" s="885"/>
      <c r="E180" s="885"/>
      <c r="F180" s="885"/>
      <c r="G180" s="885"/>
      <c r="H180" s="885"/>
      <c r="I180" s="420"/>
      <c r="J180" s="885"/>
      <c r="K180" s="885"/>
      <c r="L180" s="265">
        <f t="shared" si="10"/>
        <v>308670</v>
      </c>
      <c r="M180" s="875">
        <v>154335</v>
      </c>
      <c r="N180" s="875">
        <v>154335</v>
      </c>
      <c r="O180" s="265">
        <f t="shared" si="11"/>
        <v>230655.91</v>
      </c>
      <c r="P180" s="875">
        <v>115327.95</v>
      </c>
      <c r="Q180" s="875">
        <v>115327.96</v>
      </c>
      <c r="R180" s="375">
        <f>O180/10/30586</f>
        <v>0.7541225070293599</v>
      </c>
      <c r="S180" s="265" t="e">
        <f>U180+#REF!</f>
        <v>#REF!</v>
      </c>
      <c r="T180" s="265" t="e">
        <f>U180+#REF!</f>
        <v>#REF!</v>
      </c>
      <c r="U180" s="875">
        <v>128000</v>
      </c>
      <c r="V180" s="231">
        <f>W180+X180</f>
        <v>274016.12</v>
      </c>
      <c r="W180" s="901">
        <v>137008.06</v>
      </c>
      <c r="X180" s="875">
        <v>137008.06</v>
      </c>
      <c r="Y180" s="419"/>
      <c r="Z180" s="1077"/>
      <c r="AA180" s="996"/>
      <c r="AB180" s="996"/>
      <c r="AC180" s="838"/>
      <c r="AD180" s="838"/>
      <c r="AE180" s="838"/>
      <c r="AF180" s="838"/>
      <c r="AG180" s="838"/>
      <c r="AH180" s="838"/>
      <c r="AI180" s="838"/>
      <c r="AJ180" s="838"/>
      <c r="AK180" s="838"/>
      <c r="AL180" s="838"/>
      <c r="AM180" s="838"/>
      <c r="AN180" s="838"/>
      <c r="AO180" s="838"/>
      <c r="AP180" s="838"/>
      <c r="AQ180" s="838"/>
      <c r="AR180" s="838"/>
      <c r="AS180" s="838"/>
      <c r="AT180" s="838"/>
    </row>
    <row r="181" spans="1:46" x14ac:dyDescent="0.25">
      <c r="A181" s="374"/>
      <c r="B181" s="887" t="s">
        <v>126</v>
      </c>
      <c r="C181" s="885"/>
      <c r="D181" s="885"/>
      <c r="E181" s="885"/>
      <c r="F181" s="885"/>
      <c r="G181" s="885"/>
      <c r="H181" s="885"/>
      <c r="I181" s="885"/>
      <c r="J181" s="885"/>
      <c r="K181" s="885"/>
      <c r="L181" s="265">
        <f t="shared" si="10"/>
        <v>34500</v>
      </c>
      <c r="M181" s="875">
        <v>17250</v>
      </c>
      <c r="N181" s="875">
        <v>17250</v>
      </c>
      <c r="O181" s="265">
        <f t="shared" si="11"/>
        <v>0</v>
      </c>
      <c r="P181" s="875"/>
      <c r="Q181" s="875"/>
      <c r="R181" s="375">
        <f>O181/10/30586</f>
        <v>0</v>
      </c>
      <c r="S181" s="265" t="e">
        <f>U181+#REF!</f>
        <v>#REF!</v>
      </c>
      <c r="T181" s="265" t="e">
        <f>U181+#REF!</f>
        <v>#REF!</v>
      </c>
      <c r="U181" s="875"/>
      <c r="V181" s="875">
        <v>0</v>
      </c>
      <c r="W181" s="901">
        <f t="shared" ref="W181" si="12">X181+Y181</f>
        <v>0</v>
      </c>
      <c r="X181" s="875">
        <v>0</v>
      </c>
      <c r="Y181" s="419"/>
      <c r="Z181" s="242"/>
      <c r="AA181" s="838"/>
      <c r="AB181" s="838"/>
      <c r="AC181" s="838"/>
      <c r="AD181" s="838"/>
      <c r="AE181" s="838"/>
      <c r="AF181" s="838"/>
      <c r="AG181" s="838"/>
      <c r="AH181" s="838"/>
      <c r="AI181" s="838"/>
      <c r="AJ181" s="838"/>
      <c r="AK181" s="838"/>
      <c r="AL181" s="838"/>
      <c r="AM181" s="838"/>
      <c r="AN181" s="838"/>
      <c r="AO181" s="838"/>
      <c r="AP181" s="838"/>
      <c r="AQ181" s="838"/>
      <c r="AR181" s="838"/>
      <c r="AS181" s="838"/>
      <c r="AT181" s="838"/>
    </row>
    <row r="182" spans="1:46" ht="13" x14ac:dyDescent="0.3">
      <c r="A182" s="374"/>
      <c r="B182" s="887" t="s">
        <v>127</v>
      </c>
      <c r="C182" s="885"/>
      <c r="D182" s="885"/>
      <c r="E182" s="885"/>
      <c r="F182" s="885"/>
      <c r="G182" s="885"/>
      <c r="H182" s="885"/>
      <c r="I182" s="847"/>
      <c r="J182" s="860"/>
      <c r="K182" s="885"/>
      <c r="L182" s="265"/>
      <c r="M182" s="875"/>
      <c r="N182" s="875"/>
      <c r="O182" s="1674"/>
      <c r="P182" s="1006"/>
      <c r="Q182" s="1006"/>
      <c r="R182" s="1712"/>
      <c r="S182" s="1674"/>
      <c r="T182" s="1674"/>
      <c r="U182" s="1006"/>
      <c r="V182" s="1713">
        <f>W182+X182</f>
        <v>0</v>
      </c>
      <c r="W182" s="1714">
        <v>0</v>
      </c>
      <c r="X182" s="1714">
        <v>0</v>
      </c>
      <c r="Y182" s="419"/>
      <c r="Z182" s="1882"/>
      <c r="AA182" s="1883"/>
      <c r="AB182" s="1883"/>
      <c r="AC182" s="1883"/>
      <c r="AD182" s="1884"/>
      <c r="AE182" s="1884"/>
      <c r="AF182" s="1884"/>
      <c r="AG182" s="1884"/>
      <c r="AH182" s="1884"/>
      <c r="AI182" s="1884"/>
      <c r="AJ182" s="1884"/>
      <c r="AK182" s="1884"/>
      <c r="AL182" s="1884"/>
      <c r="AM182" s="838"/>
      <c r="AN182" s="838"/>
      <c r="AO182" s="838"/>
      <c r="AP182" s="838"/>
      <c r="AQ182" s="838"/>
      <c r="AR182" s="838"/>
      <c r="AS182" s="838"/>
      <c r="AT182" s="838"/>
    </row>
    <row r="183" spans="1:46" ht="13.5" thickBot="1" x14ac:dyDescent="0.35">
      <c r="A183" s="374"/>
      <c r="B183" s="1877" t="s">
        <v>128</v>
      </c>
      <c r="C183" s="1878"/>
      <c r="D183" s="1878"/>
      <c r="E183" s="1715"/>
      <c r="F183" s="1715"/>
      <c r="G183" s="1715"/>
      <c r="H183" s="1715"/>
      <c r="I183" s="1716"/>
      <c r="J183" s="1715"/>
      <c r="K183" s="1717"/>
      <c r="L183" s="265">
        <f t="shared" si="10"/>
        <v>26550</v>
      </c>
      <c r="M183" s="875">
        <v>13275</v>
      </c>
      <c r="N183" s="875">
        <v>13275</v>
      </c>
      <c r="O183" s="1718">
        <f t="shared" si="11"/>
        <v>67554.81</v>
      </c>
      <c r="P183" s="908">
        <v>33777.410000000003</v>
      </c>
      <c r="Q183" s="908">
        <v>33777.4</v>
      </c>
      <c r="R183" s="1719">
        <f>O183/10/30586</f>
        <v>0.22086840384489634</v>
      </c>
      <c r="S183" s="1718" t="e">
        <f>U183+#REF!</f>
        <v>#REF!</v>
      </c>
      <c r="T183" s="1718" t="e">
        <f>U183+#REF!</f>
        <v>#REF!</v>
      </c>
      <c r="U183" s="908">
        <v>40535</v>
      </c>
      <c r="V183" s="231">
        <f>W183+X183</f>
        <v>986577.53</v>
      </c>
      <c r="W183" s="418">
        <v>493288.76</v>
      </c>
      <c r="X183" s="418">
        <v>493288.77</v>
      </c>
      <c r="Y183" s="419"/>
      <c r="Z183" s="1875"/>
      <c r="AA183" s="1876"/>
      <c r="AB183" s="1876"/>
      <c r="AC183" s="1876"/>
      <c r="AD183" s="1876"/>
      <c r="AE183" s="1876"/>
      <c r="AF183" s="1876"/>
      <c r="AG183" s="1876"/>
      <c r="AH183" s="1876"/>
      <c r="AI183" s="1876"/>
      <c r="AJ183" s="1876"/>
      <c r="AK183" s="1876"/>
      <c r="AL183" s="838"/>
      <c r="AM183" s="838"/>
      <c r="AN183" s="838"/>
      <c r="AO183" s="838"/>
      <c r="AP183" s="838"/>
      <c r="AQ183" s="838"/>
      <c r="AR183" s="838"/>
      <c r="AS183" s="838"/>
      <c r="AT183" s="838"/>
    </row>
    <row r="184" spans="1:46" ht="2.25" hidden="1" customHeight="1" x14ac:dyDescent="0.3">
      <c r="A184" s="374"/>
      <c r="B184" s="1720"/>
      <c r="C184" s="1721"/>
      <c r="D184" s="1721"/>
      <c r="E184" s="1721"/>
      <c r="F184" s="1721"/>
      <c r="G184" s="1721"/>
      <c r="H184" s="1721"/>
      <c r="I184" s="1721"/>
      <c r="J184" s="1721"/>
      <c r="K184" s="1721"/>
      <c r="L184" s="235"/>
      <c r="M184" s="875"/>
      <c r="N184" s="233"/>
      <c r="O184" s="422"/>
      <c r="P184" s="286"/>
      <c r="Q184" s="423"/>
      <c r="R184" s="424"/>
      <c r="S184" s="422"/>
      <c r="T184" s="422"/>
      <c r="U184" s="286"/>
      <c r="V184" s="875"/>
      <c r="W184" s="418"/>
      <c r="X184" s="875"/>
      <c r="Y184" s="415"/>
      <c r="Z184" s="382"/>
      <c r="AA184" s="882"/>
      <c r="AB184" s="882"/>
      <c r="AC184" s="882"/>
      <c r="AD184" s="882"/>
      <c r="AE184" s="882"/>
      <c r="AF184" s="882"/>
      <c r="AG184" s="882"/>
      <c r="AH184" s="882"/>
      <c r="AI184" s="882"/>
      <c r="AJ184" s="882"/>
      <c r="AK184" s="882"/>
      <c r="AL184" s="838"/>
      <c r="AM184" s="838"/>
      <c r="AN184" s="838"/>
      <c r="AO184" s="838"/>
      <c r="AP184" s="838"/>
      <c r="AQ184" s="838"/>
      <c r="AR184" s="838"/>
      <c r="AS184" s="838"/>
      <c r="AT184" s="838"/>
    </row>
    <row r="185" spans="1:46" ht="13" x14ac:dyDescent="0.3">
      <c r="A185" s="374"/>
      <c r="B185" s="869" t="s">
        <v>129</v>
      </c>
      <c r="C185" s="847"/>
      <c r="D185" s="847"/>
      <c r="E185" s="847"/>
      <c r="F185" s="847"/>
      <c r="G185" s="885"/>
      <c r="H185" s="885"/>
      <c r="I185" s="885"/>
      <c r="J185" s="885"/>
      <c r="K185" s="885"/>
      <c r="L185" s="224">
        <f>M185+N185</f>
        <v>75000</v>
      </c>
      <c r="M185" s="854">
        <f>M186+M187+M191</f>
        <v>37500</v>
      </c>
      <c r="N185" s="854">
        <f>N186+N187+N191</f>
        <v>37500</v>
      </c>
      <c r="O185" s="224">
        <f>P185+Q185</f>
        <v>76553.34</v>
      </c>
      <c r="P185" s="854">
        <f>P186+P187+P191</f>
        <v>38276.67</v>
      </c>
      <c r="Q185" s="854">
        <f>Q186+Q187+Q191</f>
        <v>38276.67</v>
      </c>
      <c r="R185" s="291">
        <f>R186+R187+R191</f>
        <v>0.25028882495259269</v>
      </c>
      <c r="S185" s="224">
        <f>R185/R238*100</f>
        <v>0.96707531528336876</v>
      </c>
      <c r="T185" s="224" t="e">
        <f>U185+#REF!</f>
        <v>#REF!</v>
      </c>
      <c r="U185" s="854">
        <f>U186+U187+U191</f>
        <v>45935</v>
      </c>
      <c r="V185" s="854">
        <f>V186+V187+V191+V188+V189+V190</f>
        <v>236600</v>
      </c>
      <c r="W185" s="854">
        <f>W186+W187+W191+W188+W189+W190+W191</f>
        <v>120800</v>
      </c>
      <c r="X185" s="854">
        <f>X186+X187+X191+X188+X189+X190+X191</f>
        <v>120800</v>
      </c>
      <c r="Y185" s="426"/>
      <c r="Z185" s="1511"/>
      <c r="AA185" s="1511"/>
      <c r="AB185" s="882"/>
      <c r="AC185" s="882"/>
      <c r="AD185" s="882"/>
      <c r="AE185" s="882"/>
      <c r="AF185" s="882"/>
      <c r="AG185" s="882"/>
      <c r="AH185" s="882"/>
      <c r="AI185" s="882"/>
      <c r="AJ185" s="882"/>
      <c r="AK185" s="882"/>
      <c r="AL185" s="838"/>
      <c r="AM185" s="838"/>
      <c r="AN185" s="838"/>
      <c r="AO185" s="838"/>
      <c r="AP185" s="838"/>
      <c r="AQ185" s="838"/>
      <c r="AR185" s="838"/>
      <c r="AS185" s="838"/>
      <c r="AT185" s="838"/>
    </row>
    <row r="186" spans="1:46" ht="13" x14ac:dyDescent="0.3">
      <c r="A186" s="374"/>
      <c r="B186" s="887" t="s">
        <v>130</v>
      </c>
      <c r="C186" s="885"/>
      <c r="D186" s="885"/>
      <c r="E186" s="885"/>
      <c r="F186" s="885"/>
      <c r="G186" s="885"/>
      <c r="H186" s="885"/>
      <c r="I186" s="845"/>
      <c r="J186" s="845"/>
      <c r="K186" s="845"/>
      <c r="L186" s="265">
        <f>M186+N186</f>
        <v>40000</v>
      </c>
      <c r="M186" s="875">
        <v>20000</v>
      </c>
      <c r="N186" s="875">
        <v>20000</v>
      </c>
      <c r="O186" s="265">
        <f>P186+Q186</f>
        <v>28100</v>
      </c>
      <c r="P186" s="875">
        <f>8000+3500+50+2500</f>
        <v>14050</v>
      </c>
      <c r="Q186" s="875">
        <f>8000+3500+50+2500</f>
        <v>14050</v>
      </c>
      <c r="R186" s="375">
        <f>O186/10/30586</f>
        <v>9.1872098345648343E-2</v>
      </c>
      <c r="S186" s="265" t="e">
        <f>U186+#REF!</f>
        <v>#REF!</v>
      </c>
      <c r="T186" s="265" t="e">
        <f>U186+#REF!</f>
        <v>#REF!</v>
      </c>
      <c r="U186" s="875">
        <v>16860</v>
      </c>
      <c r="V186" s="231">
        <f t="shared" ref="V186:V191" si="13">W186+X186</f>
        <v>30000</v>
      </c>
      <c r="W186" s="901">
        <v>15000</v>
      </c>
      <c r="X186" s="875">
        <v>15000</v>
      </c>
      <c r="Y186" s="428"/>
      <c r="Z186" s="1706"/>
      <c r="AA186" s="1700"/>
      <c r="AB186" s="593"/>
      <c r="AC186" s="593"/>
      <c r="AD186" s="838"/>
      <c r="AE186" s="838"/>
      <c r="AF186" s="838"/>
      <c r="AG186" s="838"/>
      <c r="AH186" s="838"/>
      <c r="AI186" s="838"/>
      <c r="AJ186" s="390"/>
      <c r="AK186" s="838"/>
      <c r="AL186" s="838"/>
      <c r="AM186" s="838"/>
      <c r="AN186" s="838"/>
      <c r="AO186" s="838"/>
      <c r="AP186" s="838"/>
      <c r="AQ186" s="838"/>
      <c r="AR186" s="838"/>
      <c r="AS186" s="838"/>
      <c r="AT186" s="838"/>
    </row>
    <row r="187" spans="1:46" ht="13" x14ac:dyDescent="0.3">
      <c r="A187" s="374"/>
      <c r="B187" s="887" t="s">
        <v>131</v>
      </c>
      <c r="C187" s="885"/>
      <c r="D187" s="885"/>
      <c r="E187" s="885"/>
      <c r="F187" s="885"/>
      <c r="G187" s="885"/>
      <c r="H187" s="885"/>
      <c r="I187" s="845"/>
      <c r="J187" s="845"/>
      <c r="K187" s="1722" t="s">
        <v>132</v>
      </c>
      <c r="L187" s="265">
        <f>M187+N187</f>
        <v>30000</v>
      </c>
      <c r="M187" s="875">
        <v>15000</v>
      </c>
      <c r="N187" s="875">
        <v>15000</v>
      </c>
      <c r="O187" s="265">
        <f>P187+Q187</f>
        <v>41943.34</v>
      </c>
      <c r="P187" s="875">
        <f>8329.17+3325+7687.5+1630</f>
        <v>20971.67</v>
      </c>
      <c r="Q187" s="875">
        <f>8329.17+3325+7687.5+1630</f>
        <v>20971.67</v>
      </c>
      <c r="R187" s="375">
        <f>O187/10/30586</f>
        <v>0.13713247891192049</v>
      </c>
      <c r="S187" s="265" t="e">
        <f>U187+#REF!</f>
        <v>#REF!</v>
      </c>
      <c r="T187" s="265" t="e">
        <f>U187+#REF!</f>
        <v>#REF!</v>
      </c>
      <c r="U187" s="875">
        <v>25170</v>
      </c>
      <c r="V187" s="231">
        <f t="shared" si="13"/>
        <v>90000</v>
      </c>
      <c r="W187" s="901">
        <v>45000</v>
      </c>
      <c r="X187" s="875">
        <v>45000</v>
      </c>
      <c r="Y187" s="428"/>
      <c r="Z187" s="1164"/>
      <c r="AA187" s="1701"/>
      <c r="AB187" s="593"/>
      <c r="AC187" s="593"/>
      <c r="AD187" s="838"/>
      <c r="AE187" s="838"/>
      <c r="AF187" s="838"/>
      <c r="AG187" s="838"/>
      <c r="AH187" s="838"/>
      <c r="AI187" s="838"/>
      <c r="AJ187" s="838"/>
      <c r="AK187" s="838"/>
      <c r="AL187" s="838"/>
      <c r="AM187" s="838"/>
      <c r="AN187" s="838"/>
      <c r="AO187" s="838"/>
      <c r="AP187" s="838"/>
      <c r="AQ187" s="838"/>
      <c r="AR187" s="838"/>
      <c r="AS187" s="838"/>
      <c r="AT187" s="838"/>
    </row>
    <row r="188" spans="1:46" ht="14" x14ac:dyDescent="0.3">
      <c r="A188" s="865"/>
      <c r="B188" s="1887" t="s">
        <v>631</v>
      </c>
      <c r="C188" s="1888"/>
      <c r="D188" s="1888"/>
      <c r="E188" s="1888"/>
      <c r="F188" s="1888"/>
      <c r="G188" s="1888"/>
      <c r="H188" s="1888"/>
      <c r="I188" s="1888"/>
      <c r="J188" s="1888"/>
      <c r="K188" s="1722"/>
      <c r="L188" s="265"/>
      <c r="M188" s="875"/>
      <c r="N188" s="875"/>
      <c r="O188" s="1674"/>
      <c r="P188" s="1006"/>
      <c r="Q188" s="1006"/>
      <c r="R188" s="1712"/>
      <c r="S188" s="1674"/>
      <c r="T188" s="1674"/>
      <c r="U188" s="1006"/>
      <c r="V188" s="1723">
        <f t="shared" si="13"/>
        <v>41600</v>
      </c>
      <c r="W188" s="1563">
        <f>16800+4000</f>
        <v>20800</v>
      </c>
      <c r="X188" s="1566">
        <f>16800+4000</f>
        <v>20800</v>
      </c>
      <c r="Y188" s="428"/>
      <c r="Z188" s="1164"/>
      <c r="AA188" s="1701"/>
      <c r="AB188" s="593"/>
      <c r="AC188" s="593"/>
      <c r="AD188" s="838"/>
      <c r="AE188" s="838"/>
      <c r="AF188" s="838"/>
      <c r="AG188" s="838"/>
      <c r="AH188" s="838"/>
      <c r="AI188" s="838"/>
      <c r="AJ188" s="838"/>
      <c r="AK188" s="838"/>
      <c r="AL188" s="838"/>
      <c r="AM188" s="838"/>
      <c r="AN188" s="838"/>
      <c r="AO188" s="838"/>
      <c r="AP188" s="838"/>
      <c r="AQ188" s="838"/>
      <c r="AR188" s="838"/>
      <c r="AS188" s="838"/>
      <c r="AT188" s="838"/>
    </row>
    <row r="189" spans="1:46" ht="14" x14ac:dyDescent="0.3">
      <c r="A189" s="865"/>
      <c r="B189" s="1887" t="s">
        <v>632</v>
      </c>
      <c r="C189" s="1888"/>
      <c r="D189" s="1888"/>
      <c r="E189" s="1888"/>
      <c r="F189" s="1888"/>
      <c r="G189" s="1888"/>
      <c r="H189" s="1888"/>
      <c r="I189" s="1888"/>
      <c r="J189" s="1888"/>
      <c r="K189" s="1722"/>
      <c r="L189" s="265"/>
      <c r="M189" s="875"/>
      <c r="N189" s="875"/>
      <c r="O189" s="1674"/>
      <c r="P189" s="1006"/>
      <c r="Q189" s="1006"/>
      <c r="R189" s="1712"/>
      <c r="S189" s="1674"/>
      <c r="T189" s="1674"/>
      <c r="U189" s="1006"/>
      <c r="V189" s="1723">
        <f t="shared" si="13"/>
        <v>70000</v>
      </c>
      <c r="W189" s="1563">
        <v>35000</v>
      </c>
      <c r="X189" s="1566">
        <v>35000</v>
      </c>
      <c r="Y189" s="428"/>
      <c r="Z189" s="1164"/>
      <c r="AA189" s="1701"/>
      <c r="AB189" s="593"/>
      <c r="AC189" s="593"/>
      <c r="AD189" s="838"/>
      <c r="AE189" s="838"/>
      <c r="AF189" s="838"/>
      <c r="AG189" s="838"/>
      <c r="AH189" s="838"/>
      <c r="AI189" s="838"/>
      <c r="AJ189" s="838"/>
      <c r="AK189" s="838"/>
      <c r="AL189" s="838"/>
      <c r="AM189" s="838"/>
      <c r="AN189" s="838"/>
      <c r="AO189" s="838"/>
      <c r="AP189" s="838"/>
      <c r="AQ189" s="838"/>
      <c r="AR189" s="838"/>
      <c r="AS189" s="838"/>
      <c r="AT189" s="838"/>
    </row>
    <row r="190" spans="1:46" ht="13" x14ac:dyDescent="0.3">
      <c r="A190" s="865"/>
      <c r="B190" s="1889" t="s">
        <v>439</v>
      </c>
      <c r="C190" s="1890"/>
      <c r="D190" s="1890"/>
      <c r="E190" s="1890"/>
      <c r="F190" s="1890"/>
      <c r="G190" s="1890"/>
      <c r="H190" s="1890"/>
      <c r="I190" s="1890"/>
      <c r="J190" s="1890"/>
      <c r="K190" s="1722"/>
      <c r="L190" s="265"/>
      <c r="M190" s="875"/>
      <c r="N190" s="875"/>
      <c r="O190" s="1674"/>
      <c r="P190" s="1006"/>
      <c r="Q190" s="1006"/>
      <c r="R190" s="1712"/>
      <c r="S190" s="1674"/>
      <c r="T190" s="1674"/>
      <c r="U190" s="1006"/>
      <c r="V190" s="231">
        <f t="shared" si="13"/>
        <v>0</v>
      </c>
      <c r="W190" s="901">
        <v>0</v>
      </c>
      <c r="X190" s="875">
        <v>0</v>
      </c>
      <c r="Y190" s="428"/>
      <c r="Z190" s="1164"/>
      <c r="AA190" s="1701"/>
      <c r="AB190" s="593"/>
      <c r="AC190" s="593"/>
      <c r="AD190" s="838"/>
      <c r="AE190" s="838"/>
      <c r="AF190" s="838"/>
      <c r="AG190" s="838"/>
      <c r="AH190" s="838"/>
      <c r="AI190" s="838"/>
      <c r="AJ190" s="838"/>
      <c r="AK190" s="838"/>
      <c r="AL190" s="838"/>
      <c r="AM190" s="838"/>
      <c r="AN190" s="838"/>
      <c r="AO190" s="838"/>
      <c r="AP190" s="838"/>
      <c r="AQ190" s="838"/>
      <c r="AR190" s="838"/>
      <c r="AS190" s="838"/>
      <c r="AT190" s="838"/>
    </row>
    <row r="191" spans="1:46" ht="13.5" thickBot="1" x14ac:dyDescent="0.35">
      <c r="A191" s="374"/>
      <c r="B191" s="1724" t="s">
        <v>440</v>
      </c>
      <c r="C191" s="1725"/>
      <c r="D191" s="1725"/>
      <c r="E191" s="1725"/>
      <c r="F191" s="1725"/>
      <c r="G191" s="1725"/>
      <c r="H191" s="1725"/>
      <c r="I191" s="1725"/>
      <c r="J191" s="1725"/>
      <c r="K191" s="1725"/>
      <c r="L191" s="265">
        <f>M191+N191</f>
        <v>5000</v>
      </c>
      <c r="M191" s="875">
        <v>2500</v>
      </c>
      <c r="N191" s="875">
        <v>2500</v>
      </c>
      <c r="O191" s="1718">
        <f>P191+Q191</f>
        <v>6510</v>
      </c>
      <c r="P191" s="908">
        <f>1080+2175</f>
        <v>3255</v>
      </c>
      <c r="Q191" s="908">
        <f>1080+2175</f>
        <v>3255</v>
      </c>
      <c r="R191" s="1719">
        <f>O191/10/30586</f>
        <v>2.1284247695023868E-2</v>
      </c>
      <c r="S191" s="1718" t="e">
        <f>U191+#REF!</f>
        <v>#REF!</v>
      </c>
      <c r="T191" s="1718" t="e">
        <f>U191+#REF!</f>
        <v>#REF!</v>
      </c>
      <c r="U191" s="908">
        <v>3905</v>
      </c>
      <c r="V191" s="231">
        <f t="shared" si="13"/>
        <v>5000</v>
      </c>
      <c r="W191" s="901">
        <v>2500</v>
      </c>
      <c r="X191" s="875">
        <v>2500</v>
      </c>
      <c r="Y191" s="432"/>
      <c r="Z191" s="1165"/>
      <c r="AA191" s="1702"/>
      <c r="AB191" s="838"/>
      <c r="AC191" s="838"/>
      <c r="AD191" s="877"/>
      <c r="AE191" s="838"/>
      <c r="AF191" s="838"/>
      <c r="AG191" s="838"/>
      <c r="AH191" s="838"/>
      <c r="AI191" s="838"/>
      <c r="AJ191" s="838"/>
      <c r="AK191" s="838"/>
      <c r="AL191" s="838"/>
      <c r="AM191" s="838"/>
      <c r="AN191" s="838"/>
      <c r="AO191" s="838"/>
      <c r="AP191" s="838"/>
      <c r="AQ191" s="838"/>
      <c r="AR191" s="838"/>
      <c r="AS191" s="838"/>
      <c r="AT191" s="838"/>
    </row>
    <row r="192" spans="1:46" ht="23.15" customHeight="1" x14ac:dyDescent="0.3">
      <c r="A192" s="374"/>
      <c r="B192" s="869" t="s">
        <v>134</v>
      </c>
      <c r="C192" s="847"/>
      <c r="D192" s="847"/>
      <c r="E192" s="847"/>
      <c r="F192" s="847"/>
      <c r="G192" s="847"/>
      <c r="H192" s="847"/>
      <c r="I192" s="885"/>
      <c r="J192" s="885"/>
      <c r="K192" s="885"/>
      <c r="L192" s="224">
        <f>M192+N192</f>
        <v>195000</v>
      </c>
      <c r="M192" s="854">
        <f>M194+M195+M198+M196+M199+M200+M201</f>
        <v>97500</v>
      </c>
      <c r="N192" s="854">
        <f>N194+N195+N198+N196+N199+N200+N201</f>
        <v>97500</v>
      </c>
      <c r="O192" s="434">
        <f>P192+Q192</f>
        <v>340965.75</v>
      </c>
      <c r="P192" s="846">
        <f>P194+P195+P196+P198+P199+P200+P201</f>
        <v>170194.12999999998</v>
      </c>
      <c r="Q192" s="846">
        <f>Q194+Q195+Q196+Q198+Q199+Q200+Q201</f>
        <v>170771.62</v>
      </c>
      <c r="R192" s="433">
        <f>R194+R195+R196+R198+R199+R200</f>
        <v>1.1035367488393382</v>
      </c>
      <c r="S192" s="434">
        <f>R192/R238*100</f>
        <v>4.2638865299428614</v>
      </c>
      <c r="T192" s="434" t="e">
        <f>U192+#REF!</f>
        <v>#REF!</v>
      </c>
      <c r="U192" s="846">
        <f>U194+U195+U196+U198+U199+U200+U201</f>
        <v>190248.5</v>
      </c>
      <c r="V192" s="854">
        <f>V194+V195+V196+V198+V199+V200+V201+V197</f>
        <v>361900</v>
      </c>
      <c r="W192" s="854">
        <f>W194+W195+W196+W198+W199+W200+W201+W197</f>
        <v>180950</v>
      </c>
      <c r="X192" s="854">
        <f>X194+X195+X196+X198+X199+X200+X201+X197</f>
        <v>180950</v>
      </c>
      <c r="Y192" s="426"/>
      <c r="Z192" s="1707"/>
      <c r="AA192" s="63"/>
      <c r="AB192" s="838"/>
      <c r="AC192" s="435"/>
      <c r="AD192" s="838"/>
      <c r="AE192" s="838"/>
      <c r="AF192" s="838"/>
      <c r="AG192" s="838"/>
      <c r="AH192" s="838"/>
      <c r="AI192" s="838"/>
      <c r="AJ192" s="838"/>
      <c r="AK192" s="838"/>
      <c r="AL192" s="838"/>
      <c r="AM192" s="838"/>
      <c r="AN192" s="838"/>
      <c r="AO192" s="838"/>
      <c r="AP192" s="838"/>
      <c r="AQ192" s="838"/>
      <c r="AR192" s="838"/>
      <c r="AS192" s="838"/>
      <c r="AT192" s="838"/>
    </row>
    <row r="193" spans="1:49" ht="12.65" customHeight="1" x14ac:dyDescent="0.3">
      <c r="A193" s="374"/>
      <c r="B193" s="887" t="s">
        <v>135</v>
      </c>
      <c r="C193" s="885"/>
      <c r="D193" s="885"/>
      <c r="E193" s="885"/>
      <c r="F193" s="885"/>
      <c r="G193" s="885"/>
      <c r="H193" s="885"/>
      <c r="I193" s="885"/>
      <c r="J193" s="885"/>
      <c r="K193" s="885"/>
      <c r="L193" s="265"/>
      <c r="M193" s="875"/>
      <c r="N193" s="875"/>
      <c r="O193" s="265"/>
      <c r="P193" s="875"/>
      <c r="Q193" s="875"/>
      <c r="R193" s="375"/>
      <c r="S193" s="265"/>
      <c r="T193" s="265"/>
      <c r="U193" s="875"/>
      <c r="V193" s="875"/>
      <c r="W193" s="901"/>
      <c r="X193" s="875"/>
      <c r="Y193" s="428"/>
      <c r="Z193" s="1707"/>
      <c r="AA193" s="1703"/>
      <c r="AB193" s="1086"/>
      <c r="AC193" s="1086"/>
      <c r="AD193" s="1086"/>
      <c r="AE193" s="1086"/>
      <c r="AF193" s="1086"/>
      <c r="AG193" s="1086"/>
      <c r="AH193" s="1086"/>
      <c r="AI193" s="1086"/>
      <c r="AJ193" s="1086"/>
      <c r="AK193" s="1086"/>
      <c r="AL193" s="1086"/>
      <c r="AM193" s="1086"/>
      <c r="AN193" s="1086"/>
      <c r="AO193" s="1086"/>
      <c r="AP193" s="1086"/>
      <c r="AQ193" s="1086"/>
      <c r="AR193" s="1086"/>
      <c r="AS193" s="1086"/>
      <c r="AT193" s="1086"/>
    </row>
    <row r="194" spans="1:49" ht="13" x14ac:dyDescent="0.3">
      <c r="A194" s="374"/>
      <c r="B194" s="887" t="s">
        <v>136</v>
      </c>
      <c r="C194" s="885"/>
      <c r="D194" s="885"/>
      <c r="E194" s="885"/>
      <c r="F194" s="885"/>
      <c r="G194" s="1555"/>
      <c r="H194" s="437"/>
      <c r="I194" s="845"/>
      <c r="J194" s="845"/>
      <c r="K194" s="845"/>
      <c r="L194" s="265">
        <f t="shared" ref="L194:L201" si="14">M194+N194</f>
        <v>80000</v>
      </c>
      <c r="M194" s="875">
        <v>40000</v>
      </c>
      <c r="N194" s="875">
        <v>40000</v>
      </c>
      <c r="O194" s="265">
        <f t="shared" ref="O194:O201" si="15">P194+Q194</f>
        <v>80112.22</v>
      </c>
      <c r="P194" s="875">
        <f>9250+19635.7+898.45+3780+6491.96</f>
        <v>40056.11</v>
      </c>
      <c r="Q194" s="875">
        <f>9250+19635.7+898.45+3780+6491.96</f>
        <v>40056.11</v>
      </c>
      <c r="R194" s="375">
        <f t="shared" ref="R194:R201" si="16">O194/10/30586</f>
        <v>0.26192447525011442</v>
      </c>
      <c r="S194" s="265" t="e">
        <f>U194+#REF!</f>
        <v>#REF!</v>
      </c>
      <c r="T194" s="265" t="e">
        <f>U194+#REF!</f>
        <v>#REF!</v>
      </c>
      <c r="U194" s="875">
        <v>48070</v>
      </c>
      <c r="V194" s="231">
        <f t="shared" ref="V194:V201" si="17">W194+X194</f>
        <v>93900</v>
      </c>
      <c r="W194" s="438">
        <f>X194</f>
        <v>46950</v>
      </c>
      <c r="X194" s="1244">
        <v>46950</v>
      </c>
      <c r="Y194" s="428"/>
      <c r="Z194" s="1708"/>
      <c r="AA194" s="1088"/>
      <c r="AB194" s="1086"/>
      <c r="AC194" s="1086"/>
      <c r="AD194" s="1086"/>
      <c r="AE194" s="1086"/>
      <c r="AF194" s="1086"/>
      <c r="AG194" s="1086"/>
      <c r="AH194" s="1086"/>
      <c r="AI194" s="1086"/>
      <c r="AJ194" s="1086"/>
      <c r="AK194" s="1086"/>
      <c r="AL194" s="1086"/>
      <c r="AM194" s="1086"/>
      <c r="AN194" s="1086"/>
      <c r="AO194" s="1086"/>
      <c r="AP194" s="1086"/>
      <c r="AQ194" s="1086"/>
      <c r="AR194" s="1086"/>
      <c r="AS194" s="1086"/>
      <c r="AT194" s="1086"/>
    </row>
    <row r="195" spans="1:49" ht="15.75" customHeight="1" x14ac:dyDescent="0.3">
      <c r="A195" s="374"/>
      <c r="B195" s="887" t="s">
        <v>137</v>
      </c>
      <c r="C195" s="885"/>
      <c r="D195" s="885"/>
      <c r="E195" s="885"/>
      <c r="F195" s="885"/>
      <c r="G195" s="110"/>
      <c r="H195" s="1894" t="s">
        <v>428</v>
      </c>
      <c r="I195" s="1813"/>
      <c r="J195" s="1813"/>
      <c r="K195" s="845"/>
      <c r="L195" s="265">
        <f t="shared" si="14"/>
        <v>20000</v>
      </c>
      <c r="M195" s="875">
        <v>10000</v>
      </c>
      <c r="N195" s="875">
        <v>10000</v>
      </c>
      <c r="O195" s="265">
        <f t="shared" si="15"/>
        <v>84807</v>
      </c>
      <c r="P195" s="875">
        <f>20585+21818.5</f>
        <v>42403.5</v>
      </c>
      <c r="Q195" s="875">
        <f>20585+21818.5</f>
        <v>42403.5</v>
      </c>
      <c r="R195" s="375">
        <f t="shared" si="16"/>
        <v>0.27727391617079711</v>
      </c>
      <c r="S195" s="265" t="e">
        <f>U195+#REF!</f>
        <v>#REF!</v>
      </c>
      <c r="T195" s="265" t="e">
        <f>U195+#REF!</f>
        <v>#REF!</v>
      </c>
      <c r="U195" s="875">
        <v>45403.5</v>
      </c>
      <c r="V195" s="1680">
        <f t="shared" si="17"/>
        <v>80000</v>
      </c>
      <c r="W195" s="1681">
        <v>40000</v>
      </c>
      <c r="X195" s="1680">
        <v>40000</v>
      </c>
      <c r="Y195" s="428"/>
      <c r="Z195" s="1709"/>
      <c r="AA195" s="1704"/>
      <c r="AB195" s="1569"/>
      <c r="AC195" s="1085"/>
      <c r="AD195" s="1085"/>
      <c r="AE195" s="1085"/>
      <c r="AF195" s="1085"/>
      <c r="AG195" s="1085"/>
      <c r="AH195" s="1085"/>
      <c r="AI195" s="1085"/>
      <c r="AJ195" s="1085"/>
      <c r="AK195" s="1085"/>
      <c r="AL195" s="1085"/>
      <c r="AM195" s="1085"/>
      <c r="AN195" s="1085"/>
      <c r="AO195" s="1085"/>
      <c r="AP195" s="1086"/>
      <c r="AQ195" s="1086"/>
      <c r="AR195" s="1086"/>
      <c r="AS195" s="1086"/>
      <c r="AT195" s="1086"/>
    </row>
    <row r="196" spans="1:49" ht="12.65" customHeight="1" x14ac:dyDescent="0.3">
      <c r="A196" s="374"/>
      <c r="B196" s="887" t="s">
        <v>633</v>
      </c>
      <c r="C196" s="885"/>
      <c r="D196" s="885"/>
      <c r="E196" s="885"/>
      <c r="F196" s="885"/>
      <c r="G196" s="885"/>
      <c r="H196" s="885"/>
      <c r="I196" s="885"/>
      <c r="J196" s="885"/>
      <c r="K196" s="885"/>
      <c r="L196" s="265">
        <f t="shared" si="14"/>
        <v>17000</v>
      </c>
      <c r="M196" s="875">
        <v>8500</v>
      </c>
      <c r="N196" s="875">
        <v>8500</v>
      </c>
      <c r="O196" s="1643">
        <f t="shared" si="15"/>
        <v>91679</v>
      </c>
      <c r="P196" s="1726">
        <f>100+675+1050+350+14250+22736+6678.5</f>
        <v>45839.5</v>
      </c>
      <c r="Q196" s="1726">
        <f>100+675+1050+350+14250+22736+6678.5</f>
        <v>45839.5</v>
      </c>
      <c r="R196" s="375">
        <f t="shared" si="16"/>
        <v>0.29974171189433074</v>
      </c>
      <c r="S196" s="265" t="e">
        <f>U196+#REF!</f>
        <v>#REF!</v>
      </c>
      <c r="T196" s="1643" t="e">
        <f>U196+#REF!</f>
        <v>#REF!</v>
      </c>
      <c r="U196" s="1726">
        <v>46500</v>
      </c>
      <c r="V196" s="231">
        <f t="shared" si="17"/>
        <v>46000</v>
      </c>
      <c r="W196" s="1263">
        <v>23000</v>
      </c>
      <c r="X196" s="1264">
        <v>23000</v>
      </c>
      <c r="Y196" s="428"/>
      <c r="Z196" s="1709"/>
      <c r="AA196" s="1704"/>
      <c r="AB196" s="1156"/>
      <c r="AC196" s="1086"/>
      <c r="AD196" s="1086"/>
      <c r="AE196" s="1086"/>
      <c r="AF196" s="1086"/>
      <c r="AG196" s="1086"/>
      <c r="AH196" s="1086"/>
      <c r="AI196" s="1086"/>
      <c r="AJ196" s="1086"/>
      <c r="AK196" s="1086"/>
      <c r="AL196" s="1086"/>
      <c r="AM196" s="1086"/>
      <c r="AN196" s="1086"/>
      <c r="AO196" s="1086"/>
      <c r="AP196" s="1086"/>
      <c r="AQ196" s="1086"/>
      <c r="AR196" s="1086"/>
      <c r="AS196" s="1086"/>
      <c r="AT196" s="1086"/>
    </row>
    <row r="197" spans="1:49" ht="19" customHeight="1" x14ac:dyDescent="0.3">
      <c r="A197" s="865"/>
      <c r="B197" s="1727" t="s">
        <v>634</v>
      </c>
      <c r="C197" s="885"/>
      <c r="D197" s="885"/>
      <c r="E197" s="885"/>
      <c r="F197" s="885"/>
      <c r="G197" s="885"/>
      <c r="H197" s="885"/>
      <c r="I197" s="885"/>
      <c r="J197" s="885"/>
      <c r="K197" s="885"/>
      <c r="L197" s="265"/>
      <c r="M197" s="875"/>
      <c r="N197" s="875"/>
      <c r="O197" s="1643"/>
      <c r="P197" s="1728"/>
      <c r="Q197" s="1728"/>
      <c r="R197" s="375"/>
      <c r="S197" s="265"/>
      <c r="T197" s="1643"/>
      <c r="U197" s="1728"/>
      <c r="V197" s="1729">
        <f t="shared" si="17"/>
        <v>38000</v>
      </c>
      <c r="W197" s="1730">
        <v>19000</v>
      </c>
      <c r="X197" s="1731">
        <v>19000</v>
      </c>
      <c r="Y197" s="443"/>
      <c r="Z197" s="1710"/>
      <c r="AA197" s="1705"/>
      <c r="AB197" s="1698"/>
      <c r="AC197" s="1186"/>
      <c r="AD197" s="1186"/>
      <c r="AE197" s="1186"/>
      <c r="AF197" s="1186"/>
      <c r="AG197" s="1186"/>
      <c r="AH197" s="1186"/>
      <c r="AI197" s="1186"/>
      <c r="AJ197" s="1186"/>
      <c r="AK197" s="1186"/>
      <c r="AL197" s="1186"/>
      <c r="AM197" s="1186"/>
      <c r="AN197" s="1186"/>
      <c r="AO197" s="1186"/>
      <c r="AP197" s="1186"/>
      <c r="AQ197" s="1186"/>
      <c r="AR197" s="1186"/>
      <c r="AS197" s="1186"/>
      <c r="AT197" s="1186"/>
      <c r="AU197" s="1186"/>
      <c r="AV197" s="1186"/>
      <c r="AW197" s="1186"/>
    </row>
    <row r="198" spans="1:49" ht="12.65" customHeight="1" x14ac:dyDescent="0.3">
      <c r="A198" s="374"/>
      <c r="B198" s="887" t="s">
        <v>412</v>
      </c>
      <c r="C198" s="885"/>
      <c r="D198" s="885"/>
      <c r="E198" s="885"/>
      <c r="F198" s="885"/>
      <c r="G198" s="885"/>
      <c r="H198" s="885"/>
      <c r="I198" s="885"/>
      <c r="J198" s="885"/>
      <c r="K198" s="885"/>
      <c r="L198" s="265">
        <f t="shared" si="14"/>
        <v>30000</v>
      </c>
      <c r="M198" s="875">
        <v>15000</v>
      </c>
      <c r="N198" s="875">
        <v>15000</v>
      </c>
      <c r="O198" s="265">
        <f t="shared" si="15"/>
        <v>43099.28</v>
      </c>
      <c r="P198" s="286">
        <f>9047.5+12502.14</f>
        <v>21549.64</v>
      </c>
      <c r="Q198" s="286">
        <f>9047.5+12502.14</f>
        <v>21549.64</v>
      </c>
      <c r="R198" s="375">
        <f t="shared" si="16"/>
        <v>0.1409117897077094</v>
      </c>
      <c r="S198" s="265" t="e">
        <f>U198+#REF!</f>
        <v>#REF!</v>
      </c>
      <c r="T198" s="265" t="e">
        <f>U198+#REF!</f>
        <v>#REF!</v>
      </c>
      <c r="U198" s="286">
        <v>25860</v>
      </c>
      <c r="V198" s="231">
        <f t="shared" si="17"/>
        <v>29000</v>
      </c>
      <c r="W198" s="901">
        <v>14500</v>
      </c>
      <c r="X198" s="286">
        <v>14500</v>
      </c>
      <c r="Y198" s="443"/>
      <c r="Z198" s="1710"/>
      <c r="AA198" s="1705"/>
      <c r="AB198" s="1699"/>
      <c r="AC198" s="1186"/>
      <c r="AD198" s="1186"/>
      <c r="AE198" s="1186"/>
      <c r="AF198" s="1186"/>
      <c r="AG198" s="1186"/>
      <c r="AH198" s="1186"/>
      <c r="AI198" s="1186"/>
      <c r="AJ198" s="1186"/>
      <c r="AK198" s="1186"/>
      <c r="AL198" s="1186"/>
      <c r="AM198" s="1186"/>
      <c r="AN198" s="1186"/>
      <c r="AO198" s="1186"/>
      <c r="AP198" s="1186"/>
      <c r="AQ198" s="1186"/>
      <c r="AR198" s="1186"/>
      <c r="AS198" s="1186"/>
      <c r="AT198" s="1186"/>
      <c r="AU198" s="1186"/>
      <c r="AV198" s="1186"/>
      <c r="AW198" s="1186"/>
    </row>
    <row r="199" spans="1:49" ht="12.65" customHeight="1" x14ac:dyDescent="0.3">
      <c r="A199" s="374"/>
      <c r="B199" s="887" t="s">
        <v>413</v>
      </c>
      <c r="C199" s="885"/>
      <c r="D199" s="885"/>
      <c r="E199" s="885"/>
      <c r="F199" s="885"/>
      <c r="G199" s="885"/>
      <c r="H199" s="885"/>
      <c r="I199" s="885"/>
      <c r="J199" s="885"/>
      <c r="K199" s="885"/>
      <c r="L199" s="265">
        <f t="shared" si="14"/>
        <v>8000</v>
      </c>
      <c r="M199" s="875">
        <v>4000</v>
      </c>
      <c r="N199" s="875">
        <v>4000</v>
      </c>
      <c r="O199" s="265">
        <f t="shared" si="15"/>
        <v>8173.6</v>
      </c>
      <c r="P199" s="875">
        <f>4086.8</f>
        <v>4086.8</v>
      </c>
      <c r="Q199" s="875">
        <v>4086.8</v>
      </c>
      <c r="R199" s="375">
        <f t="shared" si="16"/>
        <v>2.6723337474661612E-2</v>
      </c>
      <c r="S199" s="265" t="e">
        <f>U199+#REF!</f>
        <v>#REF!</v>
      </c>
      <c r="T199" s="265" t="e">
        <f>U199+#REF!</f>
        <v>#REF!</v>
      </c>
      <c r="U199" s="875">
        <v>4905</v>
      </c>
      <c r="V199" s="231">
        <f t="shared" si="17"/>
        <v>16000</v>
      </c>
      <c r="W199" s="901">
        <v>8000</v>
      </c>
      <c r="X199" s="875">
        <v>8000</v>
      </c>
      <c r="Y199" s="428"/>
      <c r="Z199" s="1710"/>
      <c r="AA199" s="1705"/>
      <c r="AB199" s="1086"/>
      <c r="AC199" s="1086"/>
      <c r="AD199" s="1086"/>
      <c r="AE199" s="1086"/>
      <c r="AF199" s="1086"/>
      <c r="AG199" s="1086"/>
      <c r="AH199" s="1086"/>
      <c r="AI199" s="1086"/>
      <c r="AJ199" s="1086"/>
      <c r="AK199" s="1086"/>
      <c r="AL199" s="1086"/>
      <c r="AM199" s="1086"/>
      <c r="AN199" s="1086"/>
      <c r="AO199" s="1086"/>
      <c r="AP199" s="1086"/>
      <c r="AQ199" s="1086"/>
      <c r="AR199" s="1086"/>
      <c r="AS199" s="1086"/>
      <c r="AT199" s="1086"/>
    </row>
    <row r="200" spans="1:49" ht="12.65" customHeight="1" x14ac:dyDescent="0.3">
      <c r="A200" s="374"/>
      <c r="B200" s="887" t="s">
        <v>414</v>
      </c>
      <c r="C200" s="885"/>
      <c r="D200" s="885"/>
      <c r="E200" s="885"/>
      <c r="F200" s="885"/>
      <c r="G200" s="885"/>
      <c r="H200" s="885"/>
      <c r="I200" s="885"/>
      <c r="J200" s="885"/>
      <c r="K200" s="885"/>
      <c r="L200" s="265">
        <f t="shared" si="14"/>
        <v>40000</v>
      </c>
      <c r="M200" s="875">
        <v>20000</v>
      </c>
      <c r="N200" s="875">
        <v>20000</v>
      </c>
      <c r="O200" s="265">
        <f t="shared" si="15"/>
        <v>29656.65</v>
      </c>
      <c r="P200" s="875">
        <v>14828.33</v>
      </c>
      <c r="Q200" s="875">
        <v>14828.32</v>
      </c>
      <c r="R200" s="375">
        <f t="shared" si="16"/>
        <v>9.6961518341724964E-2</v>
      </c>
      <c r="S200" s="265" t="e">
        <f>U200+#REF!</f>
        <v>#REF!</v>
      </c>
      <c r="T200" s="265" t="e">
        <f>U200+#REF!</f>
        <v>#REF!</v>
      </c>
      <c r="U200" s="875">
        <v>17795</v>
      </c>
      <c r="V200" s="231">
        <f t="shared" si="17"/>
        <v>45000</v>
      </c>
      <c r="W200" s="901">
        <v>22500</v>
      </c>
      <c r="X200" s="875">
        <v>22500</v>
      </c>
      <c r="Y200" s="428"/>
      <c r="Z200" s="1710"/>
      <c r="AA200" s="1705"/>
      <c r="AB200" s="1086"/>
      <c r="AC200" s="1086"/>
      <c r="AD200" s="1086"/>
      <c r="AE200" s="1086"/>
      <c r="AF200" s="1086"/>
      <c r="AG200" s="1086"/>
      <c r="AH200" s="1086"/>
      <c r="AI200" s="1086"/>
      <c r="AJ200" s="1086"/>
      <c r="AK200" s="1086"/>
      <c r="AL200" s="1086"/>
      <c r="AM200" s="1086"/>
      <c r="AN200" s="1086"/>
      <c r="AO200" s="1086"/>
      <c r="AP200" s="1086"/>
      <c r="AQ200" s="1086"/>
      <c r="AR200" s="1086"/>
      <c r="AS200" s="1086"/>
      <c r="AT200" s="1086"/>
    </row>
    <row r="201" spans="1:49" ht="13" customHeight="1" thickBot="1" x14ac:dyDescent="0.35">
      <c r="A201" s="444"/>
      <c r="B201" s="67" t="s">
        <v>635</v>
      </c>
      <c r="C201" s="892"/>
      <c r="D201" s="892"/>
      <c r="E201" s="892"/>
      <c r="F201" s="892"/>
      <c r="G201" s="892"/>
      <c r="H201" s="892"/>
      <c r="I201" s="892"/>
      <c r="J201" s="1732" t="s">
        <v>429</v>
      </c>
      <c r="K201" s="892"/>
      <c r="L201" s="1718">
        <f t="shared" si="14"/>
        <v>0</v>
      </c>
      <c r="M201" s="908">
        <v>0</v>
      </c>
      <c r="N201" s="908"/>
      <c r="O201" s="1718">
        <f t="shared" si="15"/>
        <v>3438</v>
      </c>
      <c r="P201" s="908">
        <f>960.5+469.75</f>
        <v>1430.25</v>
      </c>
      <c r="Q201" s="908">
        <f>577.5+960.5+469.75</f>
        <v>2007.75</v>
      </c>
      <c r="R201" s="375">
        <f t="shared" si="16"/>
        <v>1.1240436801150853E-2</v>
      </c>
      <c r="S201" s="1718" t="e">
        <f>U201+#REF!</f>
        <v>#REF!</v>
      </c>
      <c r="T201" s="1718" t="e">
        <f>U201+#REF!</f>
        <v>#REF!</v>
      </c>
      <c r="U201" s="908">
        <v>1715</v>
      </c>
      <c r="V201" s="231">
        <f t="shared" si="17"/>
        <v>14000</v>
      </c>
      <c r="W201" s="904">
        <v>7000</v>
      </c>
      <c r="X201" s="908">
        <v>7000</v>
      </c>
      <c r="Y201" s="445"/>
      <c r="Z201" s="1710"/>
      <c r="AA201" s="1705"/>
      <c r="AB201" s="1086"/>
      <c r="AC201" s="1086"/>
      <c r="AD201" s="1086"/>
      <c r="AE201" s="1086"/>
      <c r="AF201" s="1086"/>
      <c r="AG201" s="1086"/>
      <c r="AH201" s="1086"/>
      <c r="AI201" s="1086"/>
      <c r="AJ201" s="1086"/>
      <c r="AK201" s="1086"/>
      <c r="AL201" s="1086"/>
      <c r="AM201" s="1086"/>
      <c r="AN201" s="1086"/>
      <c r="AO201" s="1086"/>
      <c r="AP201" s="1086"/>
      <c r="AQ201" s="1086"/>
      <c r="AR201" s="1086"/>
      <c r="AS201" s="1086"/>
      <c r="AT201" s="1086"/>
    </row>
    <row r="202" spans="1:49" ht="1.5" hidden="1" customHeight="1" x14ac:dyDescent="0.3">
      <c r="A202" s="23"/>
      <c r="B202" s="887"/>
      <c r="C202" s="885"/>
      <c r="D202" s="885"/>
      <c r="E202" s="885"/>
      <c r="F202" s="885"/>
      <c r="G202" s="885"/>
      <c r="H202" s="885"/>
      <c r="I202" s="885"/>
      <c r="J202" s="885"/>
      <c r="K202" s="885"/>
      <c r="L202" s="989"/>
      <c r="M202" s="1733"/>
      <c r="N202" s="1733"/>
      <c r="O202" s="989"/>
      <c r="P202" s="1733"/>
      <c r="Q202" s="1733"/>
      <c r="R202" s="1734"/>
      <c r="S202" s="989"/>
      <c r="T202" s="1735"/>
      <c r="U202" s="447"/>
      <c r="V202" s="989"/>
      <c r="W202" s="446"/>
      <c r="X202" s="447"/>
      <c r="Y202" s="448"/>
      <c r="Z202" s="1802"/>
      <c r="AA202" s="1803"/>
      <c r="AB202" s="838"/>
      <c r="AC202" s="838"/>
      <c r="AD202" s="838"/>
      <c r="AE202" s="838"/>
      <c r="AF202" s="838"/>
      <c r="AG202" s="838"/>
      <c r="AH202" s="838"/>
      <c r="AI202" s="838"/>
      <c r="AJ202" s="838"/>
      <c r="AK202" s="838"/>
      <c r="AL202" s="838"/>
      <c r="AM202" s="838"/>
      <c r="AN202" s="838"/>
      <c r="AO202" s="838"/>
      <c r="AP202" s="838"/>
      <c r="AQ202" s="838"/>
      <c r="AR202" s="838"/>
      <c r="AS202" s="838"/>
      <c r="AT202" s="838"/>
    </row>
    <row r="203" spans="1:49" ht="18" customHeight="1" x14ac:dyDescent="0.3">
      <c r="A203" s="59"/>
      <c r="B203" s="449" t="s">
        <v>138</v>
      </c>
      <c r="C203" s="841"/>
      <c r="D203" s="841"/>
      <c r="E203" s="841"/>
      <c r="F203" s="841"/>
      <c r="G203" s="841"/>
      <c r="H203" s="60"/>
      <c r="I203" s="60"/>
      <c r="J203" s="60"/>
      <c r="K203" s="60"/>
      <c r="L203" s="224">
        <f>M203+N203</f>
        <v>66000</v>
      </c>
      <c r="M203" s="219">
        <f>M204+M205+M206+M207</f>
        <v>33000</v>
      </c>
      <c r="N203" s="219">
        <f>N204+N205+N206+N207</f>
        <v>33000</v>
      </c>
      <c r="O203" s="224">
        <f>P203+Q203</f>
        <v>62412.81</v>
      </c>
      <c r="P203" s="219">
        <f>P204+P205+P206+P207</f>
        <v>31206.400000000001</v>
      </c>
      <c r="Q203" s="219">
        <f>Q204+Q205+Q206+Q207</f>
        <v>31206.41</v>
      </c>
      <c r="R203" s="291">
        <f>R205</f>
        <v>0.20405679068855032</v>
      </c>
      <c r="S203" s="224">
        <f>R203/R238*100</f>
        <v>0.78844225357732245</v>
      </c>
      <c r="T203" s="224" t="e">
        <f>U203+#REF!</f>
        <v>#REF!</v>
      </c>
      <c r="U203" s="219">
        <f>U204+U205+U206+U207</f>
        <v>37450</v>
      </c>
      <c r="V203" s="219">
        <f>V204+V205+V206+V207</f>
        <v>72000</v>
      </c>
      <c r="W203" s="416">
        <f>X203</f>
        <v>36000</v>
      </c>
      <c r="X203" s="219">
        <f>X204+X205+X206+X207</f>
        <v>36000</v>
      </c>
      <c r="Y203" s="453"/>
      <c r="Z203" s="1804"/>
      <c r="AA203" s="1803"/>
      <c r="AB203" s="1805"/>
      <c r="AC203" s="1805"/>
      <c r="AD203" s="838"/>
      <c r="AE203" s="838"/>
      <c r="AF203" s="838"/>
      <c r="AG203" s="838"/>
      <c r="AH203" s="838"/>
      <c r="AI203" s="838"/>
      <c r="AJ203" s="838"/>
      <c r="AK203" s="838"/>
      <c r="AL203" s="838"/>
      <c r="AM203" s="838"/>
      <c r="AN203" s="838"/>
      <c r="AO203" s="838"/>
      <c r="AP203" s="838"/>
      <c r="AQ203" s="838"/>
      <c r="AR203" s="838"/>
      <c r="AS203" s="838"/>
      <c r="AT203" s="838"/>
    </row>
    <row r="204" spans="1:49" ht="13" x14ac:dyDescent="0.3">
      <c r="A204" s="374"/>
      <c r="B204" s="887" t="s">
        <v>139</v>
      </c>
      <c r="C204" s="885"/>
      <c r="D204" s="885"/>
      <c r="E204" s="885"/>
      <c r="F204" s="885"/>
      <c r="G204" s="885"/>
      <c r="H204" s="885"/>
      <c r="I204" s="885"/>
      <c r="J204" s="885"/>
      <c r="K204" s="885"/>
      <c r="L204" s="235">
        <f>M204+N204</f>
        <v>0</v>
      </c>
      <c r="M204" s="875"/>
      <c r="N204" s="875"/>
      <c r="O204" s="235">
        <f>P204+Q204</f>
        <v>0</v>
      </c>
      <c r="P204" s="875"/>
      <c r="Q204" s="875"/>
      <c r="R204" s="297" t="e">
        <f>T204+U204</f>
        <v>#REF!</v>
      </c>
      <c r="S204" s="235" t="e">
        <f>U204+#REF!</f>
        <v>#REF!</v>
      </c>
      <c r="T204" s="235" t="e">
        <f>U204+#REF!</f>
        <v>#REF!</v>
      </c>
      <c r="U204" s="875"/>
      <c r="V204" s="225">
        <v>0</v>
      </c>
      <c r="W204" s="456">
        <f>X204+Y204</f>
        <v>0</v>
      </c>
      <c r="X204" s="225">
        <v>0</v>
      </c>
      <c r="Y204" s="428"/>
      <c r="Z204" s="1806"/>
      <c r="AA204" s="1805"/>
      <c r="AB204" s="1805"/>
      <c r="AC204" s="1805"/>
      <c r="AD204" s="838"/>
      <c r="AE204" s="838"/>
      <c r="AF204" s="838"/>
      <c r="AG204" s="838"/>
      <c r="AH204" s="838"/>
      <c r="AI204" s="838"/>
      <c r="AJ204" s="838"/>
      <c r="AK204" s="838"/>
      <c r="AL204" s="838"/>
      <c r="AM204" s="838"/>
      <c r="AN204" s="838"/>
      <c r="AO204" s="838"/>
      <c r="AP204" s="838"/>
      <c r="AQ204" s="838"/>
      <c r="AR204" s="838"/>
      <c r="AS204" s="838"/>
      <c r="AT204" s="838"/>
    </row>
    <row r="205" spans="1:49" ht="13" x14ac:dyDescent="0.3">
      <c r="A205" s="374"/>
      <c r="B205" s="887" t="s">
        <v>140</v>
      </c>
      <c r="C205" s="885"/>
      <c r="D205" s="885"/>
      <c r="E205" s="885"/>
      <c r="F205" s="885"/>
      <c r="G205" s="885"/>
      <c r="H205" s="885"/>
      <c r="I205" s="885"/>
      <c r="J205" s="1570" t="s">
        <v>283</v>
      </c>
      <c r="K205" s="885" t="s">
        <v>141</v>
      </c>
      <c r="L205" s="235">
        <f>M205+N205</f>
        <v>66000</v>
      </c>
      <c r="M205" s="875">
        <v>33000</v>
      </c>
      <c r="N205" s="875">
        <v>33000</v>
      </c>
      <c r="O205" s="235">
        <f>P205+Q205</f>
        <v>62412.81</v>
      </c>
      <c r="P205" s="875">
        <v>31206.400000000001</v>
      </c>
      <c r="Q205" s="875">
        <v>31206.41</v>
      </c>
      <c r="R205" s="375">
        <f>O205/10/30586</f>
        <v>0.20405679068855032</v>
      </c>
      <c r="S205" s="235" t="e">
        <f>U205+#REF!</f>
        <v>#REF!</v>
      </c>
      <c r="T205" s="235" t="e">
        <f>U205+#REF!</f>
        <v>#REF!</v>
      </c>
      <c r="U205" s="875">
        <v>37450</v>
      </c>
      <c r="V205" s="225">
        <f>W205+X205</f>
        <v>72000</v>
      </c>
      <c r="W205" s="456">
        <v>36000</v>
      </c>
      <c r="X205" s="225">
        <v>36000</v>
      </c>
      <c r="Y205" s="428"/>
      <c r="Z205" s="457"/>
      <c r="AA205" s="893"/>
      <c r="AB205" s="838"/>
      <c r="AC205" s="838"/>
      <c r="AD205" s="838"/>
      <c r="AE205" s="838"/>
      <c r="AF205" s="838"/>
      <c r="AG205" s="838"/>
      <c r="AH205" s="838"/>
      <c r="AI205" s="838"/>
      <c r="AJ205" s="838"/>
      <c r="AK205" s="838"/>
      <c r="AL205" s="838"/>
      <c r="AM205" s="838"/>
      <c r="AN205" s="838"/>
      <c r="AO205" s="838"/>
      <c r="AP205" s="838"/>
      <c r="AQ205" s="838"/>
      <c r="AR205" s="838"/>
      <c r="AS205" s="838"/>
      <c r="AT205" s="838"/>
    </row>
    <row r="206" spans="1:49" ht="13.5" thickBot="1" x14ac:dyDescent="0.35">
      <c r="A206" s="374"/>
      <c r="B206" s="67" t="s">
        <v>142</v>
      </c>
      <c r="C206" s="892"/>
      <c r="D206" s="892"/>
      <c r="E206" s="892"/>
      <c r="F206" s="892"/>
      <c r="G206" s="892"/>
      <c r="H206" s="892"/>
      <c r="I206" s="892"/>
      <c r="J206" s="1736"/>
      <c r="K206" s="892"/>
      <c r="L206" s="1737">
        <f>M206+N206</f>
        <v>0</v>
      </c>
      <c r="M206" s="908"/>
      <c r="N206" s="908"/>
      <c r="O206" s="1737">
        <f>P206+Q206</f>
        <v>0</v>
      </c>
      <c r="P206" s="908"/>
      <c r="Q206" s="908"/>
      <c r="R206" s="1738" t="e">
        <f>T206+U206</f>
        <v>#REF!</v>
      </c>
      <c r="S206" s="1737" t="e">
        <f>U206+#REF!</f>
        <v>#REF!</v>
      </c>
      <c r="T206" s="1737" t="e">
        <f>U206+#REF!</f>
        <v>#REF!</v>
      </c>
      <c r="U206" s="908"/>
      <c r="V206" s="463">
        <v>0</v>
      </c>
      <c r="W206" s="464">
        <f>X206+Y206</f>
        <v>0</v>
      </c>
      <c r="X206" s="463">
        <v>0</v>
      </c>
      <c r="Y206" s="445"/>
      <c r="Z206" s="376"/>
      <c r="AA206" s="893"/>
      <c r="AB206" s="838"/>
      <c r="AC206" s="838"/>
      <c r="AD206" s="838"/>
      <c r="AE206" s="838"/>
      <c r="AF206" s="838"/>
      <c r="AG206" s="838"/>
      <c r="AH206" s="838"/>
      <c r="AI206" s="838"/>
      <c r="AJ206" s="838"/>
      <c r="AK206" s="838"/>
      <c r="AL206" s="838"/>
      <c r="AM206" s="838"/>
      <c r="AN206" s="838"/>
      <c r="AO206" s="838"/>
      <c r="AP206" s="838"/>
      <c r="AQ206" s="838"/>
      <c r="AR206" s="838"/>
      <c r="AS206" s="838"/>
      <c r="AT206" s="838"/>
    </row>
    <row r="207" spans="1:49" ht="12.75" customHeight="1" thickBot="1" x14ac:dyDescent="0.35">
      <c r="A207" s="181"/>
      <c r="B207" s="465" t="s">
        <v>143</v>
      </c>
      <c r="C207" s="892"/>
      <c r="D207" s="892"/>
      <c r="E207" s="892"/>
      <c r="F207" s="892"/>
      <c r="G207" s="892"/>
      <c r="H207" s="892"/>
      <c r="I207" s="892"/>
      <c r="J207" s="182"/>
      <c r="K207" s="182"/>
      <c r="L207" s="1739">
        <f>M207+N207</f>
        <v>0</v>
      </c>
      <c r="M207" s="470">
        <v>0</v>
      </c>
      <c r="N207" s="470">
        <v>0</v>
      </c>
      <c r="O207" s="1739">
        <f>P207+Q207</f>
        <v>0</v>
      </c>
      <c r="P207" s="470">
        <v>0</v>
      </c>
      <c r="Q207" s="470">
        <v>0</v>
      </c>
      <c r="R207" s="1740" t="e">
        <f>T207+U207</f>
        <v>#REF!</v>
      </c>
      <c r="S207" s="1739" t="e">
        <f>U207+#REF!</f>
        <v>#REF!</v>
      </c>
      <c r="T207" s="1739" t="e">
        <f>U207+#REF!</f>
        <v>#REF!</v>
      </c>
      <c r="U207" s="470">
        <v>0</v>
      </c>
      <c r="V207" s="470">
        <v>0</v>
      </c>
      <c r="W207" s="471">
        <f>X207+Y207</f>
        <v>0</v>
      </c>
      <c r="X207" s="470">
        <v>0</v>
      </c>
      <c r="Y207" s="472"/>
      <c r="Z207" s="380"/>
      <c r="AA207" s="838"/>
      <c r="AB207" s="838"/>
      <c r="AC207" s="838"/>
      <c r="AD207" s="838"/>
      <c r="AE207" s="838"/>
      <c r="AF207" s="838"/>
      <c r="AG207" s="838"/>
      <c r="AH207" s="838"/>
      <c r="AI207" s="838"/>
      <c r="AJ207" s="838"/>
      <c r="AK207" s="838"/>
      <c r="AL207" s="838"/>
      <c r="AM207" s="838"/>
      <c r="AN207" s="838"/>
      <c r="AO207" s="838"/>
      <c r="AP207" s="838"/>
      <c r="AQ207" s="838"/>
      <c r="AR207" s="838"/>
      <c r="AS207" s="838"/>
      <c r="AT207" s="838"/>
    </row>
    <row r="208" spans="1:49" ht="4.5" hidden="1" customHeight="1" x14ac:dyDescent="0.25">
      <c r="A208" s="23"/>
      <c r="B208" s="926"/>
      <c r="C208" s="885"/>
      <c r="D208" s="885"/>
      <c r="E208" s="885"/>
      <c r="F208" s="885"/>
      <c r="G208" s="885"/>
      <c r="H208" s="885"/>
      <c r="I208" s="885"/>
      <c r="J208" s="885"/>
      <c r="K208" s="885"/>
      <c r="L208" s="989"/>
      <c r="M208" s="286"/>
      <c r="N208" s="286"/>
      <c r="O208" s="989"/>
      <c r="P208" s="286"/>
      <c r="Q208" s="286"/>
      <c r="R208" s="1734"/>
      <c r="S208" s="989"/>
      <c r="T208" s="1735"/>
      <c r="U208" s="906"/>
      <c r="V208" s="989"/>
      <c r="W208" s="446"/>
      <c r="X208" s="906"/>
      <c r="Y208" s="248"/>
      <c r="Z208" s="242"/>
      <c r="AA208" s="838"/>
      <c r="AB208" s="838"/>
      <c r="AC208" s="838"/>
      <c r="AD208" s="838"/>
      <c r="AE208" s="838"/>
      <c r="AF208" s="838"/>
      <c r="AG208" s="838"/>
      <c r="AH208" s="838"/>
      <c r="AI208" s="838"/>
      <c r="AJ208" s="838"/>
      <c r="AK208" s="838"/>
      <c r="AL208" s="838"/>
      <c r="AM208" s="838"/>
      <c r="AN208" s="838"/>
      <c r="AO208" s="838"/>
      <c r="AP208" s="838"/>
      <c r="AQ208" s="838"/>
      <c r="AR208" s="838"/>
      <c r="AS208" s="838"/>
      <c r="AT208" s="838"/>
    </row>
    <row r="209" spans="1:46" hidden="1" x14ac:dyDescent="0.25">
      <c r="A209" s="23"/>
      <c r="B209" s="882"/>
      <c r="C209" s="882"/>
      <c r="D209" s="882"/>
      <c r="E209" s="882"/>
      <c r="F209" s="882"/>
      <c r="G209" s="882"/>
      <c r="H209" s="882"/>
      <c r="I209" s="882"/>
      <c r="J209" s="882"/>
      <c r="K209" s="882"/>
      <c r="L209" s="903"/>
      <c r="M209" s="1733"/>
      <c r="N209" s="1733"/>
      <c r="O209" s="903"/>
      <c r="P209" s="1733"/>
      <c r="Q209" s="1733"/>
      <c r="R209" s="1741"/>
      <c r="S209" s="903"/>
      <c r="T209" s="1742"/>
      <c r="U209" s="447"/>
      <c r="V209" s="903"/>
      <c r="W209" s="901"/>
      <c r="X209" s="447"/>
      <c r="Y209" s="271"/>
      <c r="Z209" s="201"/>
      <c r="AA209" s="838"/>
      <c r="AB209" s="838"/>
      <c r="AC209" s="838"/>
      <c r="AD209" s="838"/>
      <c r="AE209" s="838"/>
      <c r="AF209" s="838"/>
      <c r="AG209" s="838"/>
      <c r="AH209" s="838"/>
      <c r="AI209" s="838"/>
      <c r="AJ209" s="838"/>
      <c r="AK209" s="838"/>
      <c r="AL209" s="838"/>
      <c r="AM209" s="838"/>
      <c r="AN209" s="838"/>
      <c r="AO209" s="838"/>
      <c r="AP209" s="838"/>
      <c r="AQ209" s="838"/>
      <c r="AR209" s="838"/>
      <c r="AS209" s="838"/>
      <c r="AT209" s="838"/>
    </row>
    <row r="210" spans="1:46" hidden="1" x14ac:dyDescent="0.25">
      <c r="A210" s="23"/>
      <c r="B210" s="882"/>
      <c r="C210" s="882"/>
      <c r="D210" s="882"/>
      <c r="E210" s="882"/>
      <c r="F210" s="882"/>
      <c r="G210" s="882"/>
      <c r="H210" s="882"/>
      <c r="I210" s="882"/>
      <c r="J210" s="882"/>
      <c r="K210" s="882"/>
      <c r="L210" s="903"/>
      <c r="M210" s="1733"/>
      <c r="N210" s="1733"/>
      <c r="O210" s="903"/>
      <c r="P210" s="1733"/>
      <c r="Q210" s="1733"/>
      <c r="R210" s="1741"/>
      <c r="S210" s="903"/>
      <c r="T210" s="1742"/>
      <c r="U210" s="447"/>
      <c r="V210" s="903"/>
      <c r="W210" s="901"/>
      <c r="X210" s="447"/>
      <c r="Y210" s="271"/>
      <c r="Z210" s="201"/>
      <c r="AA210" s="838"/>
      <c r="AB210" s="838"/>
      <c r="AC210" s="838"/>
      <c r="AD210" s="838"/>
      <c r="AE210" s="838"/>
      <c r="AF210" s="838"/>
      <c r="AG210" s="838"/>
      <c r="AH210" s="838"/>
      <c r="AI210" s="838"/>
      <c r="AJ210" s="838"/>
      <c r="AK210" s="838"/>
      <c r="AL210" s="838"/>
      <c r="AM210" s="838"/>
      <c r="AN210" s="838"/>
      <c r="AO210" s="838"/>
      <c r="AP210" s="838"/>
      <c r="AQ210" s="838"/>
      <c r="AR210" s="838"/>
      <c r="AS210" s="838"/>
      <c r="AT210" s="838"/>
    </row>
    <row r="211" spans="1:46" hidden="1" x14ac:dyDescent="0.25">
      <c r="A211" s="23"/>
      <c r="B211" s="882"/>
      <c r="C211" s="882"/>
      <c r="D211" s="882"/>
      <c r="E211" s="882"/>
      <c r="F211" s="882"/>
      <c r="G211" s="882"/>
      <c r="H211" s="882"/>
      <c r="I211" s="882"/>
      <c r="J211" s="882"/>
      <c r="K211" s="882"/>
      <c r="L211" s="903"/>
      <c r="M211" s="1733"/>
      <c r="N211" s="1733"/>
      <c r="O211" s="903"/>
      <c r="P211" s="1733"/>
      <c r="Q211" s="1733"/>
      <c r="R211" s="1741"/>
      <c r="S211" s="903"/>
      <c r="T211" s="1742"/>
      <c r="U211" s="447"/>
      <c r="V211" s="903"/>
      <c r="W211" s="901"/>
      <c r="X211" s="447"/>
      <c r="Y211" s="271"/>
      <c r="Z211" s="201"/>
      <c r="AA211" s="838"/>
      <c r="AB211" s="838"/>
      <c r="AC211" s="838"/>
      <c r="AD211" s="838"/>
      <c r="AE211" s="838"/>
      <c r="AF211" s="838"/>
      <c r="AG211" s="838"/>
      <c r="AH211" s="838"/>
      <c r="AI211" s="838"/>
      <c r="AJ211" s="838"/>
      <c r="AK211" s="838"/>
      <c r="AL211" s="838"/>
      <c r="AM211" s="838"/>
      <c r="AN211" s="838"/>
      <c r="AO211" s="838"/>
      <c r="AP211" s="838"/>
      <c r="AQ211" s="838"/>
      <c r="AR211" s="838"/>
      <c r="AS211" s="838"/>
      <c r="AT211" s="838"/>
    </row>
    <row r="212" spans="1:46" hidden="1" x14ac:dyDescent="0.25">
      <c r="A212" s="23"/>
      <c r="B212" s="882"/>
      <c r="C212" s="882"/>
      <c r="D212" s="882"/>
      <c r="E212" s="882"/>
      <c r="F212" s="882"/>
      <c r="G212" s="882"/>
      <c r="H212" s="882"/>
      <c r="I212" s="882"/>
      <c r="J212" s="882"/>
      <c r="K212" s="882"/>
      <c r="L212" s="903"/>
      <c r="M212" s="1733"/>
      <c r="N212" s="1733"/>
      <c r="O212" s="903"/>
      <c r="P212" s="1733"/>
      <c r="Q212" s="1733"/>
      <c r="R212" s="1741"/>
      <c r="S212" s="903"/>
      <c r="T212" s="1742"/>
      <c r="U212" s="447"/>
      <c r="V212" s="903"/>
      <c r="W212" s="901"/>
      <c r="X212" s="447"/>
      <c r="Y212" s="271"/>
      <c r="Z212" s="201"/>
      <c r="AA212" s="838"/>
      <c r="AB212" s="838"/>
      <c r="AC212" s="838"/>
      <c r="AD212" s="838"/>
      <c r="AE212" s="838"/>
      <c r="AF212" s="838"/>
      <c r="AG212" s="838"/>
      <c r="AH212" s="838"/>
      <c r="AI212" s="838"/>
      <c r="AJ212" s="838"/>
      <c r="AK212" s="838"/>
      <c r="AL212" s="838"/>
      <c r="AM212" s="838"/>
      <c r="AN212" s="838"/>
      <c r="AO212" s="838"/>
      <c r="AP212" s="838"/>
      <c r="AQ212" s="838"/>
      <c r="AR212" s="838"/>
      <c r="AS212" s="838"/>
      <c r="AT212" s="838"/>
    </row>
    <row r="213" spans="1:46" hidden="1" x14ac:dyDescent="0.25">
      <c r="A213" s="23"/>
      <c r="B213" s="882"/>
      <c r="C213" s="882"/>
      <c r="D213" s="882"/>
      <c r="E213" s="882"/>
      <c r="F213" s="882"/>
      <c r="G213" s="882"/>
      <c r="H213" s="882"/>
      <c r="I213" s="882"/>
      <c r="J213" s="882"/>
      <c r="K213" s="882"/>
      <c r="L213" s="903"/>
      <c r="M213" s="1733"/>
      <c r="N213" s="1733"/>
      <c r="O213" s="903"/>
      <c r="P213" s="1733"/>
      <c r="Q213" s="1733"/>
      <c r="R213" s="1741"/>
      <c r="S213" s="903"/>
      <c r="T213" s="1742"/>
      <c r="U213" s="447"/>
      <c r="V213" s="903"/>
      <c r="W213" s="901"/>
      <c r="X213" s="447"/>
      <c r="Y213" s="271"/>
      <c r="Z213" s="201"/>
      <c r="AA213" s="838"/>
      <c r="AB213" s="838"/>
      <c r="AC213" s="838"/>
      <c r="AD213" s="838"/>
      <c r="AE213" s="838"/>
      <c r="AF213" s="838"/>
      <c r="AG213" s="838"/>
      <c r="AH213" s="838"/>
      <c r="AI213" s="838"/>
      <c r="AJ213" s="838"/>
      <c r="AK213" s="838"/>
      <c r="AL213" s="838"/>
      <c r="AM213" s="838"/>
      <c r="AN213" s="838"/>
      <c r="AO213" s="838"/>
      <c r="AP213" s="838"/>
      <c r="AQ213" s="838"/>
      <c r="AR213" s="838"/>
      <c r="AS213" s="838"/>
      <c r="AT213" s="838"/>
    </row>
    <row r="214" spans="1:46" hidden="1" x14ac:dyDescent="0.25">
      <c r="A214" s="23"/>
      <c r="B214" s="882"/>
      <c r="C214" s="882"/>
      <c r="D214" s="882"/>
      <c r="E214" s="882"/>
      <c r="F214" s="882"/>
      <c r="G214" s="882"/>
      <c r="H214" s="882"/>
      <c r="I214" s="882"/>
      <c r="J214" s="882"/>
      <c r="K214" s="882"/>
      <c r="L214" s="903"/>
      <c r="M214" s="1733"/>
      <c r="N214" s="1733"/>
      <c r="O214" s="903"/>
      <c r="P214" s="1733"/>
      <c r="Q214" s="1733"/>
      <c r="R214" s="1741"/>
      <c r="S214" s="903"/>
      <c r="T214" s="1742"/>
      <c r="U214" s="447"/>
      <c r="V214" s="903"/>
      <c r="W214" s="901"/>
      <c r="X214" s="447"/>
      <c r="Y214" s="271"/>
      <c r="Z214" s="201"/>
      <c r="AA214" s="838"/>
      <c r="AB214" s="838"/>
      <c r="AC214" s="838"/>
      <c r="AD214" s="838"/>
      <c r="AE214" s="838"/>
      <c r="AF214" s="838"/>
      <c r="AG214" s="838"/>
      <c r="AH214" s="838"/>
      <c r="AI214" s="838"/>
      <c r="AJ214" s="838"/>
      <c r="AK214" s="838"/>
      <c r="AL214" s="838"/>
      <c r="AM214" s="838"/>
      <c r="AN214" s="838"/>
      <c r="AO214" s="838"/>
      <c r="AP214" s="838"/>
      <c r="AQ214" s="838"/>
      <c r="AR214" s="838"/>
      <c r="AS214" s="838"/>
      <c r="AT214" s="838"/>
    </row>
    <row r="215" spans="1:46" hidden="1" x14ac:dyDescent="0.25">
      <c r="A215" s="23"/>
      <c r="B215" s="882"/>
      <c r="C215" s="882"/>
      <c r="D215" s="882"/>
      <c r="E215" s="882"/>
      <c r="F215" s="882"/>
      <c r="G215" s="882"/>
      <c r="H215" s="882"/>
      <c r="I215" s="882"/>
      <c r="J215" s="882"/>
      <c r="K215" s="882"/>
      <c r="L215" s="903"/>
      <c r="M215" s="1733"/>
      <c r="N215" s="1733"/>
      <c r="O215" s="903"/>
      <c r="P215" s="1733"/>
      <c r="Q215" s="1733"/>
      <c r="R215" s="1741"/>
      <c r="S215" s="903"/>
      <c r="T215" s="1742"/>
      <c r="U215" s="447"/>
      <c r="V215" s="903"/>
      <c r="W215" s="901"/>
      <c r="X215" s="447"/>
      <c r="Y215" s="271"/>
      <c r="Z215" s="201"/>
      <c r="AA215" s="838"/>
      <c r="AB215" s="838"/>
      <c r="AC215" s="838"/>
      <c r="AD215" s="838"/>
      <c r="AE215" s="838"/>
      <c r="AF215" s="838"/>
      <c r="AG215" s="838"/>
      <c r="AH215" s="838"/>
      <c r="AI215" s="838"/>
      <c r="AJ215" s="838"/>
      <c r="AK215" s="838"/>
      <c r="AL215" s="838"/>
      <c r="AM215" s="838"/>
      <c r="AN215" s="838"/>
      <c r="AO215" s="838"/>
      <c r="AP215" s="838"/>
      <c r="AQ215" s="838"/>
      <c r="AR215" s="838"/>
      <c r="AS215" s="838"/>
      <c r="AT215" s="838"/>
    </row>
    <row r="216" spans="1:46" ht="0.75" customHeight="1" thickBot="1" x14ac:dyDescent="0.3">
      <c r="A216" s="23"/>
      <c r="B216" s="1743"/>
      <c r="C216" s="1721"/>
      <c r="D216" s="1721"/>
      <c r="E216" s="1721"/>
      <c r="F216" s="1721"/>
      <c r="G216" s="1721"/>
      <c r="H216" s="1721"/>
      <c r="I216" s="1721"/>
      <c r="J216" s="1721"/>
      <c r="K216" s="1721"/>
      <c r="L216" s="265"/>
      <c r="M216" s="875"/>
      <c r="N216" s="875"/>
      <c r="O216" s="265"/>
      <c r="P216" s="875"/>
      <c r="Q216" s="875"/>
      <c r="R216" s="375"/>
      <c r="S216" s="265"/>
      <c r="T216" s="1744"/>
      <c r="U216" s="884"/>
      <c r="V216" s="265"/>
      <c r="W216" s="901"/>
      <c r="X216" s="884"/>
      <c r="Y216" s="200"/>
      <c r="Z216" s="242"/>
      <c r="AA216" s="838"/>
      <c r="AB216" s="838"/>
      <c r="AC216" s="838"/>
      <c r="AD216" s="838"/>
      <c r="AE216" s="838"/>
      <c r="AF216" s="838"/>
      <c r="AG216" s="838"/>
      <c r="AH216" s="838"/>
      <c r="AI216" s="838"/>
      <c r="AJ216" s="838"/>
      <c r="AK216" s="838"/>
      <c r="AL216" s="838"/>
      <c r="AM216" s="838"/>
      <c r="AN216" s="838"/>
      <c r="AO216" s="838"/>
      <c r="AP216" s="838"/>
      <c r="AQ216" s="838"/>
      <c r="AR216" s="838"/>
      <c r="AS216" s="838"/>
      <c r="AT216" s="838"/>
    </row>
    <row r="217" spans="1:46" ht="13" hidden="1" thickBot="1" x14ac:dyDescent="0.3">
      <c r="A217" s="23"/>
      <c r="B217" s="926"/>
      <c r="C217" s="885"/>
      <c r="D217" s="885"/>
      <c r="E217" s="885"/>
      <c r="F217" s="885"/>
      <c r="G217" s="885"/>
      <c r="H217" s="885"/>
      <c r="I217" s="885"/>
      <c r="J217" s="885"/>
      <c r="K217" s="885"/>
      <c r="L217" s="1674"/>
      <c r="M217" s="1006"/>
      <c r="N217" s="1006"/>
      <c r="O217" s="1674"/>
      <c r="P217" s="1006"/>
      <c r="Q217" s="1006"/>
      <c r="R217" s="1712"/>
      <c r="S217" s="1674"/>
      <c r="T217" s="1745"/>
      <c r="U217" s="907"/>
      <c r="V217" s="1674"/>
      <c r="W217" s="474"/>
      <c r="X217" s="907"/>
      <c r="Y217" s="396"/>
      <c r="Z217" s="242"/>
      <c r="AA217" s="838"/>
      <c r="AB217" s="838"/>
      <c r="AC217" s="838"/>
      <c r="AD217" s="838"/>
      <c r="AE217" s="838"/>
      <c r="AF217" s="838"/>
      <c r="AG217" s="838"/>
      <c r="AH217" s="838"/>
      <c r="AI217" s="838"/>
      <c r="AJ217" s="838"/>
      <c r="AK217" s="838"/>
      <c r="AL217" s="838"/>
      <c r="AM217" s="838"/>
      <c r="AN217" s="838"/>
      <c r="AO217" s="838"/>
      <c r="AP217" s="838"/>
      <c r="AQ217" s="838"/>
      <c r="AR217" s="838"/>
      <c r="AS217" s="838"/>
      <c r="AT217" s="838"/>
    </row>
    <row r="218" spans="1:46" ht="13" x14ac:dyDescent="0.3">
      <c r="A218" s="138"/>
      <c r="B218" s="449" t="s">
        <v>144</v>
      </c>
      <c r="C218" s="841"/>
      <c r="D218" s="841"/>
      <c r="E218" s="841"/>
      <c r="F218" s="841"/>
      <c r="G218" s="60"/>
      <c r="H218" s="60"/>
      <c r="I218" s="60"/>
      <c r="J218" s="60"/>
      <c r="K218" s="60"/>
      <c r="L218" s="475">
        <f t="shared" ref="L218:L223" si="18">M218+N218</f>
        <v>112000</v>
      </c>
      <c r="M218" s="476">
        <f>M220</f>
        <v>56000</v>
      </c>
      <c r="N218" s="476">
        <f>N220</f>
        <v>56000</v>
      </c>
      <c r="O218" s="477">
        <f t="shared" ref="O218:O224" si="19">P218+Q218</f>
        <v>58154</v>
      </c>
      <c r="P218" s="478">
        <f>P220</f>
        <v>29077</v>
      </c>
      <c r="Q218" s="478">
        <f>Q220</f>
        <v>29077</v>
      </c>
      <c r="R218" s="479">
        <f>R220</f>
        <v>0.19013274046949583</v>
      </c>
      <c r="S218" s="475">
        <f>R218/R238*100</f>
        <v>0.73464198799149738</v>
      </c>
      <c r="T218" s="477" t="e">
        <f>U218+#REF!</f>
        <v>#REF!</v>
      </c>
      <c r="U218" s="478">
        <f t="shared" ref="U218:X218" si="20">U220</f>
        <v>29077</v>
      </c>
      <c r="V218" s="480">
        <f t="shared" si="20"/>
        <v>128069</v>
      </c>
      <c r="W218" s="481">
        <f t="shared" si="20"/>
        <v>64034.5</v>
      </c>
      <c r="X218" s="480">
        <f t="shared" si="20"/>
        <v>64034.5</v>
      </c>
      <c r="Y218" s="482"/>
      <c r="Z218" s="382"/>
      <c r="AA218" s="838"/>
      <c r="AB218" s="838"/>
      <c r="AC218" s="838"/>
      <c r="AD218" s="838"/>
      <c r="AE218" s="838"/>
      <c r="AF218" s="838"/>
      <c r="AG218" s="838"/>
      <c r="AH218" s="838"/>
      <c r="AI218" s="838"/>
      <c r="AJ218" s="838"/>
      <c r="AK218" s="838"/>
      <c r="AL218" s="838"/>
      <c r="AM218" s="838"/>
      <c r="AN218" s="838"/>
      <c r="AO218" s="838"/>
      <c r="AP218" s="838"/>
      <c r="AQ218" s="838"/>
      <c r="AR218" s="838"/>
      <c r="AS218" s="838"/>
      <c r="AT218" s="838"/>
    </row>
    <row r="219" spans="1:46" ht="0.75" customHeight="1" x14ac:dyDescent="0.3">
      <c r="A219" s="157"/>
      <c r="B219" s="887"/>
      <c r="C219" s="885"/>
      <c r="D219" s="885"/>
      <c r="E219" s="885"/>
      <c r="F219" s="885"/>
      <c r="G219" s="885"/>
      <c r="H219" s="885"/>
      <c r="I219" s="885"/>
      <c r="J219" s="885"/>
      <c r="K219" s="885"/>
      <c r="L219" s="422">
        <f t="shared" si="18"/>
        <v>0</v>
      </c>
      <c r="M219" s="423"/>
      <c r="N219" s="423"/>
      <c r="O219" s="1746">
        <f t="shared" si="19"/>
        <v>0</v>
      </c>
      <c r="P219" s="484"/>
      <c r="Q219" s="484"/>
      <c r="R219" s="1747" t="e">
        <f>T219+U219</f>
        <v>#REF!</v>
      </c>
      <c r="S219" s="312" t="e">
        <f>U219+#REF!</f>
        <v>#REF!</v>
      </c>
      <c r="T219" s="1748" t="e">
        <f>U219+#REF!</f>
        <v>#REF!</v>
      </c>
      <c r="U219" s="487"/>
      <c r="V219" s="423"/>
      <c r="W219" s="315">
        <f t="shared" ref="W219:W224" si="21">X219+Y219</f>
        <v>0</v>
      </c>
      <c r="X219" s="423"/>
      <c r="Y219" s="488"/>
      <c r="Z219" s="242"/>
      <c r="AA219" s="838"/>
      <c r="AB219" s="838"/>
      <c r="AC219" s="838"/>
      <c r="AD219" s="838"/>
      <c r="AE219" s="838"/>
      <c r="AF219" s="838"/>
      <c r="AG219" s="838"/>
      <c r="AH219" s="838"/>
      <c r="AI219" s="838"/>
      <c r="AJ219" s="838"/>
      <c r="AK219" s="838"/>
      <c r="AL219" s="838"/>
      <c r="AM219" s="838"/>
      <c r="AN219" s="838"/>
      <c r="AO219" s="838"/>
      <c r="AP219" s="838"/>
      <c r="AQ219" s="838"/>
      <c r="AR219" s="838"/>
      <c r="AS219" s="838"/>
      <c r="AT219" s="838"/>
    </row>
    <row r="220" spans="1:46" ht="13" thickBot="1" x14ac:dyDescent="0.3">
      <c r="A220" s="181"/>
      <c r="B220" s="67" t="s">
        <v>145</v>
      </c>
      <c r="C220" s="892"/>
      <c r="D220" s="892"/>
      <c r="E220" s="892"/>
      <c r="F220" s="892"/>
      <c r="G220" s="892"/>
      <c r="H220" s="892"/>
      <c r="I220" s="892"/>
      <c r="J220" s="892"/>
      <c r="K220" s="892"/>
      <c r="L220" s="1718">
        <f t="shared" si="18"/>
        <v>112000</v>
      </c>
      <c r="M220" s="908">
        <v>56000</v>
      </c>
      <c r="N220" s="908">
        <v>56000</v>
      </c>
      <c r="O220" s="1718">
        <f t="shared" si="19"/>
        <v>58154</v>
      </c>
      <c r="P220" s="908">
        <v>29077</v>
      </c>
      <c r="Q220" s="908">
        <v>29077</v>
      </c>
      <c r="R220" s="375">
        <f>O220/10/30586</f>
        <v>0.19013274046949583</v>
      </c>
      <c r="S220" s="1718" t="e">
        <f>U220+#REF!</f>
        <v>#REF!</v>
      </c>
      <c r="T220" s="1749" t="e">
        <f>U220+#REF!</f>
        <v>#REF!</v>
      </c>
      <c r="U220" s="905">
        <v>29077</v>
      </c>
      <c r="V220" s="1294">
        <f>W220+X220</f>
        <v>128069</v>
      </c>
      <c r="W220" s="1295">
        <f>128069/2</f>
        <v>64034.5</v>
      </c>
      <c r="X220" s="1295">
        <f>128069/2</f>
        <v>64034.5</v>
      </c>
      <c r="Y220" s="215"/>
      <c r="Z220" s="242"/>
      <c r="AA220" s="838"/>
      <c r="AB220" s="838"/>
      <c r="AC220" s="838"/>
      <c r="AD220" s="838"/>
      <c r="AE220" s="838"/>
      <c r="AF220" s="838"/>
      <c r="AG220" s="838"/>
      <c r="AH220" s="838"/>
      <c r="AI220" s="838"/>
      <c r="AJ220" s="838"/>
      <c r="AK220" s="838"/>
      <c r="AL220" s="838"/>
      <c r="AM220" s="838"/>
      <c r="AN220" s="838"/>
      <c r="AO220" s="838"/>
      <c r="AP220" s="838"/>
      <c r="AQ220" s="838"/>
      <c r="AR220" s="838"/>
      <c r="AS220" s="838"/>
      <c r="AT220" s="838"/>
    </row>
    <row r="221" spans="1:46" ht="13" x14ac:dyDescent="0.3">
      <c r="A221" s="138"/>
      <c r="B221" s="449" t="s">
        <v>146</v>
      </c>
      <c r="C221" s="841"/>
      <c r="D221" s="841"/>
      <c r="E221" s="841"/>
      <c r="F221" s="841"/>
      <c r="G221" s="841"/>
      <c r="H221" s="60"/>
      <c r="I221" s="60"/>
      <c r="J221" s="60"/>
      <c r="K221" s="60"/>
      <c r="L221" s="434">
        <f t="shared" si="18"/>
        <v>320000</v>
      </c>
      <c r="M221" s="219">
        <f>M222+M223+M224+M227</f>
        <v>160000</v>
      </c>
      <c r="N221" s="219">
        <f>N222+N223+N224+N227</f>
        <v>160000</v>
      </c>
      <c r="O221" s="490">
        <f t="shared" si="19"/>
        <v>302460.95999999996</v>
      </c>
      <c r="P221" s="371">
        <f>P222+P223+P224+P227</f>
        <v>151230.47999999998</v>
      </c>
      <c r="Q221" s="371">
        <f>Q222+Q223+Q224+Q227</f>
        <v>151230.47999999998</v>
      </c>
      <c r="R221" s="433">
        <f>R222+R223+R224</f>
        <v>0.98888694173805014</v>
      </c>
      <c r="S221" s="434">
        <f>R221/R238*100</f>
        <v>3.8208983207383294</v>
      </c>
      <c r="T221" s="490" t="e">
        <f>U221+#REF!</f>
        <v>#REF!</v>
      </c>
      <c r="U221" s="371">
        <f>U222+U223+U224+U227</f>
        <v>173980</v>
      </c>
      <c r="V221" s="861">
        <f>V222+V223+V224+V225+V226+V227</f>
        <v>570000</v>
      </c>
      <c r="W221" s="861">
        <f>W222+W223+W224+W225+W226+W227</f>
        <v>360000</v>
      </c>
      <c r="X221" s="861">
        <f>X222+X223+X224+X225+X226+X227</f>
        <v>210000</v>
      </c>
      <c r="Y221" s="372"/>
      <c r="Z221" s="268"/>
      <c r="AA221" s="838"/>
      <c r="AB221" s="838"/>
      <c r="AC221" s="838"/>
      <c r="AD221" s="838"/>
      <c r="AE221" s="838"/>
      <c r="AF221" s="838"/>
      <c r="AG221" s="838"/>
      <c r="AH221" s="838"/>
      <c r="AI221" s="838"/>
      <c r="AJ221" s="838"/>
      <c r="AK221" s="838"/>
      <c r="AL221" s="838"/>
      <c r="AM221" s="838"/>
      <c r="AN221" s="838"/>
      <c r="AO221" s="838"/>
      <c r="AP221" s="838"/>
      <c r="AQ221" s="838"/>
      <c r="AR221" s="838"/>
      <c r="AS221" s="838"/>
      <c r="AT221" s="838"/>
    </row>
    <row r="222" spans="1:46" ht="13" thickBot="1" x14ac:dyDescent="0.3">
      <c r="A222" s="157"/>
      <c r="B222" s="887" t="s">
        <v>355</v>
      </c>
      <c r="C222" s="885"/>
      <c r="D222" s="885"/>
      <c r="E222" s="885"/>
      <c r="F222" s="885"/>
      <c r="G222" s="885"/>
      <c r="H222" s="885"/>
      <c r="I222" s="885"/>
      <c r="J222" s="885"/>
      <c r="K222" s="885"/>
      <c r="L222" s="1718">
        <f t="shared" si="18"/>
        <v>45000</v>
      </c>
      <c r="M222" s="875">
        <v>22500</v>
      </c>
      <c r="N222" s="875">
        <v>22500</v>
      </c>
      <c r="O222" s="1750">
        <f t="shared" si="19"/>
        <v>45000</v>
      </c>
      <c r="P222" s="884">
        <v>22500</v>
      </c>
      <c r="Q222" s="884">
        <v>22500</v>
      </c>
      <c r="R222" s="375">
        <f>O222/10/30586</f>
        <v>0.14712613614071798</v>
      </c>
      <c r="S222" s="265" t="e">
        <f>U222+#REF!</f>
        <v>#REF!</v>
      </c>
      <c r="T222" s="1744" t="e">
        <f>U222+#REF!</f>
        <v>#REF!</v>
      </c>
      <c r="U222" s="884">
        <v>22500</v>
      </c>
      <c r="V222" s="884">
        <f t="shared" ref="V222:V230" si="22">W222+X222</f>
        <v>40000</v>
      </c>
      <c r="W222" s="901">
        <v>20000</v>
      </c>
      <c r="X222" s="884">
        <v>20000</v>
      </c>
      <c r="Y222" s="200"/>
      <c r="Z222" s="242"/>
      <c r="AA222" s="838"/>
      <c r="AB222" s="838"/>
      <c r="AC222" s="838"/>
      <c r="AD222" s="838"/>
      <c r="AE222" s="838"/>
      <c r="AF222" s="838"/>
      <c r="AG222" s="838"/>
      <c r="AH222" s="838"/>
      <c r="AI222" s="838"/>
      <c r="AJ222" s="838"/>
      <c r="AK222" s="838"/>
      <c r="AL222" s="838"/>
      <c r="AM222" s="838"/>
      <c r="AN222" s="838"/>
      <c r="AO222" s="838"/>
      <c r="AP222" s="838"/>
      <c r="AQ222" s="838"/>
      <c r="AR222" s="838"/>
      <c r="AS222" s="838"/>
      <c r="AT222" s="838"/>
    </row>
    <row r="223" spans="1:46" ht="13" x14ac:dyDescent="0.3">
      <c r="A223" s="157"/>
      <c r="B223" s="887" t="s">
        <v>147</v>
      </c>
      <c r="C223" s="885"/>
      <c r="D223" s="885"/>
      <c r="E223" s="885"/>
      <c r="F223" s="885"/>
      <c r="G223" s="885"/>
      <c r="H223" s="885"/>
      <c r="I223" s="885"/>
      <c r="J223" s="885"/>
      <c r="K223" s="1555" t="s">
        <v>148</v>
      </c>
      <c r="L223" s="235">
        <f t="shared" si="18"/>
        <v>35000</v>
      </c>
      <c r="M223" s="875">
        <v>17500</v>
      </c>
      <c r="N223" s="875">
        <v>17500</v>
      </c>
      <c r="O223" s="1751">
        <f t="shared" si="19"/>
        <v>27460.959999999999</v>
      </c>
      <c r="P223" s="1752">
        <v>13730.48</v>
      </c>
      <c r="Q223" s="1752">
        <v>13730.48</v>
      </c>
      <c r="R223" s="375">
        <f>O223/10/30586</f>
        <v>8.9782776433662462E-2</v>
      </c>
      <c r="S223" s="265" t="e">
        <f>U223+#REF!</f>
        <v>#REF!</v>
      </c>
      <c r="T223" s="1751" t="e">
        <f>U223+#REF!</f>
        <v>#REF!</v>
      </c>
      <c r="U223" s="1752">
        <v>16480</v>
      </c>
      <c r="V223" s="875">
        <f t="shared" si="22"/>
        <v>20000</v>
      </c>
      <c r="W223" s="901">
        <v>10000</v>
      </c>
      <c r="X223" s="875">
        <v>10000</v>
      </c>
      <c r="Y223" s="200"/>
      <c r="Z223" s="242"/>
      <c r="AA223" s="838"/>
      <c r="AB223" s="838"/>
      <c r="AC223" s="838"/>
      <c r="AD223" s="838"/>
      <c r="AE223" s="838"/>
      <c r="AF223" s="838"/>
      <c r="AG223" s="838"/>
      <c r="AH223" s="838"/>
      <c r="AI223" s="838"/>
      <c r="AJ223" s="838"/>
      <c r="AK223" s="838"/>
      <c r="AL223" s="838"/>
      <c r="AM223" s="838"/>
      <c r="AN223" s="838"/>
      <c r="AO223" s="838"/>
      <c r="AP223" s="838"/>
      <c r="AQ223" s="838"/>
      <c r="AR223" s="838"/>
      <c r="AS223" s="838"/>
      <c r="AT223" s="838"/>
    </row>
    <row r="224" spans="1:46" ht="13" x14ac:dyDescent="0.3">
      <c r="A224" s="157"/>
      <c r="B224" s="887" t="s">
        <v>149</v>
      </c>
      <c r="C224" s="885"/>
      <c r="D224" s="885"/>
      <c r="E224" s="885"/>
      <c r="F224" s="847"/>
      <c r="G224" s="885"/>
      <c r="H224" s="885"/>
      <c r="I224" s="885"/>
      <c r="J224" s="885"/>
      <c r="K224" s="885"/>
      <c r="L224" s="265">
        <v>240000</v>
      </c>
      <c r="M224" s="875">
        <v>120000</v>
      </c>
      <c r="N224" s="875">
        <v>120000</v>
      </c>
      <c r="O224" s="1753">
        <f t="shared" si="19"/>
        <v>230000</v>
      </c>
      <c r="P224" s="1754">
        <v>115000</v>
      </c>
      <c r="Q224" s="1754">
        <v>115000</v>
      </c>
      <c r="R224" s="375">
        <f>O224/10/30586</f>
        <v>0.75197802916366963</v>
      </c>
      <c r="S224" s="265" t="e">
        <f>U224+#REF!</f>
        <v>#REF!</v>
      </c>
      <c r="T224" s="1753" t="e">
        <f>U224+#REF!</f>
        <v>#REF!</v>
      </c>
      <c r="U224" s="1754">
        <v>135000</v>
      </c>
      <c r="V224" s="884">
        <f t="shared" si="22"/>
        <v>240000</v>
      </c>
      <c r="W224" s="901">
        <f t="shared" si="21"/>
        <v>120000</v>
      </c>
      <c r="X224" s="884">
        <v>120000</v>
      </c>
      <c r="Y224" s="200"/>
      <c r="Z224" s="242"/>
      <c r="AA224" s="838"/>
      <c r="AB224" s="838"/>
      <c r="AC224" s="838"/>
      <c r="AD224" s="838"/>
      <c r="AE224" s="838"/>
      <c r="AF224" s="838"/>
      <c r="AG224" s="838"/>
      <c r="AH224" s="838"/>
      <c r="AI224" s="838"/>
      <c r="AJ224" s="838"/>
      <c r="AK224" s="838"/>
      <c r="AL224" s="838"/>
      <c r="AM224" s="838"/>
      <c r="AN224" s="838"/>
      <c r="AO224" s="838"/>
      <c r="AP224" s="838"/>
      <c r="AQ224" s="838"/>
      <c r="AR224" s="838"/>
      <c r="AS224" s="838"/>
      <c r="AT224" s="838"/>
    </row>
    <row r="225" spans="1:46" ht="13" x14ac:dyDescent="0.3">
      <c r="A225" s="157"/>
      <c r="B225" s="887" t="s">
        <v>406</v>
      </c>
      <c r="C225" s="885"/>
      <c r="D225" s="885"/>
      <c r="E225" s="885"/>
      <c r="F225" s="847"/>
      <c r="G225" s="885"/>
      <c r="H225" s="885"/>
      <c r="I225" s="885"/>
      <c r="J225" s="885"/>
      <c r="K225" s="885"/>
      <c r="L225" s="1674"/>
      <c r="M225" s="1006"/>
      <c r="N225" s="1006"/>
      <c r="O225" s="1755"/>
      <c r="P225" s="1756"/>
      <c r="Q225" s="1756"/>
      <c r="R225" s="1712"/>
      <c r="S225" s="1674"/>
      <c r="T225" s="1755"/>
      <c r="U225" s="1756"/>
      <c r="V225" s="884">
        <f t="shared" si="22"/>
        <v>150000</v>
      </c>
      <c r="W225" s="474">
        <v>150000</v>
      </c>
      <c r="X225" s="907">
        <v>0</v>
      </c>
      <c r="Y225" s="396"/>
      <c r="Z225" s="242"/>
      <c r="AA225" s="838"/>
      <c r="AB225" s="838"/>
      <c r="AC225" s="838"/>
      <c r="AD225" s="838"/>
      <c r="AE225" s="838"/>
      <c r="AF225" s="838"/>
      <c r="AG225" s="838"/>
      <c r="AH225" s="838"/>
      <c r="AI225" s="838"/>
      <c r="AJ225" s="838"/>
      <c r="AK225" s="838"/>
      <c r="AL225" s="838"/>
      <c r="AM225" s="838"/>
      <c r="AN225" s="838"/>
      <c r="AO225" s="838"/>
      <c r="AP225" s="838"/>
      <c r="AQ225" s="838"/>
      <c r="AR225" s="838"/>
      <c r="AS225" s="838"/>
      <c r="AT225" s="838"/>
    </row>
    <row r="226" spans="1:46" ht="13" x14ac:dyDescent="0.3">
      <c r="A226" s="157"/>
      <c r="B226" s="887" t="s">
        <v>430</v>
      </c>
      <c r="C226" s="885"/>
      <c r="D226" s="885"/>
      <c r="E226" s="885"/>
      <c r="F226" s="847"/>
      <c r="G226" s="885"/>
      <c r="H226" s="885"/>
      <c r="I226" s="885"/>
      <c r="J226" s="885"/>
      <c r="K226" s="885"/>
      <c r="L226" s="1674"/>
      <c r="M226" s="1006"/>
      <c r="N226" s="1006"/>
      <c r="O226" s="1755"/>
      <c r="P226" s="1756"/>
      <c r="Q226" s="1756"/>
      <c r="R226" s="1712"/>
      <c r="S226" s="1674"/>
      <c r="T226" s="1755"/>
      <c r="U226" s="1756"/>
      <c r="V226" s="884">
        <f t="shared" si="22"/>
        <v>0</v>
      </c>
      <c r="W226" s="474"/>
      <c r="X226" s="907"/>
      <c r="Y226" s="396"/>
      <c r="Z226" s="242"/>
      <c r="AA226" s="838"/>
      <c r="AB226" s="838"/>
      <c r="AC226" s="838"/>
      <c r="AD226" s="838"/>
      <c r="AE226" s="838"/>
      <c r="AF226" s="838"/>
      <c r="AG226" s="838"/>
      <c r="AH226" s="838"/>
      <c r="AI226" s="838"/>
      <c r="AJ226" s="838"/>
      <c r="AK226" s="838"/>
      <c r="AL226" s="838"/>
      <c r="AM226" s="838"/>
      <c r="AN226" s="838"/>
      <c r="AO226" s="838"/>
      <c r="AP226" s="838"/>
      <c r="AQ226" s="838"/>
      <c r="AR226" s="838"/>
      <c r="AS226" s="838"/>
      <c r="AT226" s="838"/>
    </row>
    <row r="227" spans="1:46" ht="14.5" thickBot="1" x14ac:dyDescent="0.35">
      <c r="A227" s="181"/>
      <c r="B227" s="887" t="s">
        <v>405</v>
      </c>
      <c r="C227" s="885"/>
      <c r="D227" s="885" t="s">
        <v>431</v>
      </c>
      <c r="E227" s="885"/>
      <c r="G227" s="885"/>
      <c r="H227" s="885"/>
      <c r="I227" s="885"/>
      <c r="J227" s="885"/>
      <c r="K227" s="885"/>
      <c r="L227" s="1674"/>
      <c r="M227" s="1006"/>
      <c r="N227" s="1006"/>
      <c r="O227" s="1674"/>
      <c r="P227" s="1006"/>
      <c r="Q227" s="1006"/>
      <c r="R227" s="1712"/>
      <c r="S227" s="1674"/>
      <c r="T227" s="1674"/>
      <c r="U227" s="1006"/>
      <c r="V227" s="1697">
        <f t="shared" si="22"/>
        <v>120000</v>
      </c>
      <c r="W227" s="1757">
        <v>60000</v>
      </c>
      <c r="X227" s="1697">
        <v>60000</v>
      </c>
      <c r="Y227" s="396"/>
      <c r="Z227" s="242"/>
      <c r="AA227" s="838"/>
      <c r="AB227" s="838"/>
      <c r="AC227" s="838"/>
      <c r="AD227" s="838"/>
      <c r="AE227" s="838"/>
      <c r="AF227" s="838"/>
      <c r="AG227" s="838"/>
      <c r="AH227" s="838"/>
      <c r="AI227" s="838"/>
      <c r="AJ227" s="838"/>
      <c r="AK227" s="838"/>
      <c r="AL227" s="838"/>
      <c r="AM227" s="838"/>
      <c r="AN227" s="838"/>
      <c r="AO227" s="838"/>
      <c r="AP227" s="838"/>
      <c r="AQ227" s="838"/>
      <c r="AR227" s="838"/>
      <c r="AS227" s="838"/>
      <c r="AT227" s="838"/>
    </row>
    <row r="228" spans="1:46" ht="13" x14ac:dyDescent="0.3">
      <c r="A228" s="138"/>
      <c r="B228" s="449" t="s">
        <v>150</v>
      </c>
      <c r="C228" s="140"/>
      <c r="D228" s="140"/>
      <c r="E228" s="140"/>
      <c r="F228" s="140"/>
      <c r="G228" s="216"/>
      <c r="H228" s="216"/>
      <c r="I228" s="216"/>
      <c r="J228" s="493"/>
      <c r="K228" s="493"/>
      <c r="L228" s="369">
        <f>M228+N228</f>
        <v>1835560</v>
      </c>
      <c r="M228" s="219">
        <f>M229+M230+M231+M232</f>
        <v>1835560</v>
      </c>
      <c r="N228" s="219">
        <v>0</v>
      </c>
      <c r="O228" s="494">
        <f t="shared" ref="O228:O236" si="23">P228+Q228</f>
        <v>1150932</v>
      </c>
      <c r="P228" s="495">
        <f>P229+P230+P231</f>
        <v>1150932</v>
      </c>
      <c r="Q228" s="495">
        <v>0</v>
      </c>
      <c r="R228" s="368">
        <f>R229+R230+R231+R232</f>
        <v>0</v>
      </c>
      <c r="S228" s="369">
        <f>R228/R238*100</f>
        <v>0</v>
      </c>
      <c r="T228" s="494" t="e">
        <f>U228+#REF!</f>
        <v>#REF!</v>
      </c>
      <c r="U228" s="495">
        <f>U229+U230+U231</f>
        <v>1298132</v>
      </c>
      <c r="V228" s="219">
        <f t="shared" si="22"/>
        <v>895000</v>
      </c>
      <c r="W228" s="221">
        <f>W229+W230</f>
        <v>891000</v>
      </c>
      <c r="X228" s="219">
        <f>X235+X236</f>
        <v>4000</v>
      </c>
      <c r="Y228" s="372"/>
      <c r="Z228" s="268"/>
      <c r="AA228" s="838"/>
      <c r="AB228" s="838"/>
      <c r="AC228" s="838"/>
      <c r="AD228" s="838"/>
      <c r="AE228" s="838"/>
      <c r="AF228" s="838"/>
      <c r="AG228" s="838"/>
      <c r="AH228" s="838"/>
      <c r="AI228" s="838"/>
      <c r="AJ228" s="838"/>
      <c r="AK228" s="838"/>
      <c r="AL228" s="838"/>
      <c r="AM228" s="838"/>
      <c r="AN228" s="838"/>
      <c r="AO228" s="838"/>
      <c r="AP228" s="838"/>
      <c r="AQ228" s="838"/>
      <c r="AR228" s="838"/>
      <c r="AS228" s="838"/>
      <c r="AT228" s="838"/>
    </row>
    <row r="229" spans="1:46" ht="13" x14ac:dyDescent="0.3">
      <c r="A229" s="157"/>
      <c r="B229" s="197" t="s">
        <v>151</v>
      </c>
      <c r="C229" s="158"/>
      <c r="D229" s="158"/>
      <c r="E229" s="158"/>
      <c r="F229" s="158"/>
      <c r="G229" s="158"/>
      <c r="H229" s="158"/>
      <c r="I229" s="158"/>
      <c r="J229" s="496"/>
      <c r="K229" s="496"/>
      <c r="L229" s="165">
        <f>M229+N229</f>
        <v>36000</v>
      </c>
      <c r="M229" s="198">
        <v>36000</v>
      </c>
      <c r="N229" s="233">
        <v>0</v>
      </c>
      <c r="O229" s="389">
        <f>P229+Q229</f>
        <v>13160</v>
      </c>
      <c r="P229" s="381">
        <f>420+5000+2750+4990</f>
        <v>13160</v>
      </c>
      <c r="Q229" s="233">
        <v>0</v>
      </c>
      <c r="R229" s="240">
        <v>0</v>
      </c>
      <c r="S229" s="165" t="e">
        <f>U229+#REF!</f>
        <v>#REF!</v>
      </c>
      <c r="T229" s="389" t="e">
        <f>U229+#REF!</f>
        <v>#REF!</v>
      </c>
      <c r="U229" s="381">
        <v>13160</v>
      </c>
      <c r="V229" s="875">
        <f t="shared" si="22"/>
        <v>15000</v>
      </c>
      <c r="W229" s="901">
        <v>15000</v>
      </c>
      <c r="X229" s="241">
        <v>0</v>
      </c>
      <c r="Y229" s="497"/>
      <c r="Z229" s="429"/>
      <c r="AA229" s="838"/>
      <c r="AB229" s="838"/>
      <c r="AC229" s="593"/>
      <c r="AD229" s="593"/>
      <c r="AE229" s="593"/>
      <c r="AF229" s="593"/>
      <c r="AG229" s="593"/>
      <c r="AH229" s="593"/>
      <c r="AI229" s="593"/>
      <c r="AJ229" s="838"/>
      <c r="AK229" s="838"/>
      <c r="AL229" s="838"/>
      <c r="AM229" s="838"/>
      <c r="AN229" s="838"/>
      <c r="AO229" s="838"/>
      <c r="AP229" s="838"/>
      <c r="AQ229" s="838"/>
      <c r="AR229" s="838"/>
      <c r="AS229" s="838"/>
      <c r="AT229" s="838"/>
    </row>
    <row r="230" spans="1:46" ht="13" thickBot="1" x14ac:dyDescent="0.3">
      <c r="A230" s="157"/>
      <c r="B230" s="197" t="s">
        <v>152</v>
      </c>
      <c r="C230" s="158"/>
      <c r="D230" s="158"/>
      <c r="E230" s="158"/>
      <c r="F230" s="158"/>
      <c r="G230" s="158"/>
      <c r="H230" s="158"/>
      <c r="I230" s="158"/>
      <c r="J230" s="496"/>
      <c r="K230" s="496"/>
      <c r="L230" s="165">
        <f>M230+N230</f>
        <v>1762560</v>
      </c>
      <c r="M230" s="198">
        <v>1762560</v>
      </c>
      <c r="N230" s="198">
        <v>0</v>
      </c>
      <c r="O230" s="389">
        <f t="shared" si="23"/>
        <v>1131400</v>
      </c>
      <c r="P230" s="381">
        <v>1131400</v>
      </c>
      <c r="Q230" s="198">
        <v>0</v>
      </c>
      <c r="R230" s="431">
        <v>0</v>
      </c>
      <c r="S230" s="165" t="e">
        <f>U230+#REF!</f>
        <v>#REF!</v>
      </c>
      <c r="T230" s="389" t="e">
        <f>U230+#REF!</f>
        <v>#REF!</v>
      </c>
      <c r="U230" s="381">
        <v>1278600</v>
      </c>
      <c r="V230" s="255">
        <f t="shared" si="22"/>
        <v>876000</v>
      </c>
      <c r="W230" s="274">
        <v>876000</v>
      </c>
      <c r="X230" s="241">
        <v>0</v>
      </c>
      <c r="Y230" s="200"/>
      <c r="Z230" s="242"/>
      <c r="AA230" s="838"/>
      <c r="AB230" s="838"/>
      <c r="AD230" s="838"/>
      <c r="AE230" s="838"/>
      <c r="AF230" s="838"/>
      <c r="AG230" s="838"/>
      <c r="AH230" s="838"/>
      <c r="AI230" s="838"/>
      <c r="AJ230" s="838"/>
      <c r="AK230" s="838"/>
      <c r="AL230" s="838"/>
      <c r="AM230" s="838"/>
      <c r="AN230" s="838"/>
      <c r="AO230" s="838"/>
      <c r="AP230" s="838"/>
      <c r="AQ230" s="838"/>
      <c r="AR230" s="838"/>
      <c r="AS230" s="838"/>
      <c r="AT230" s="838"/>
    </row>
    <row r="231" spans="1:46" ht="13.5" thickBot="1" x14ac:dyDescent="0.35">
      <c r="A231" s="157"/>
      <c r="B231" s="65" t="s">
        <v>153</v>
      </c>
      <c r="C231" s="33"/>
      <c r="D231" s="33"/>
      <c r="E231" s="33"/>
      <c r="F231" s="33"/>
      <c r="G231" s="33"/>
      <c r="H231" s="33"/>
      <c r="I231" s="33"/>
      <c r="J231" s="498"/>
      <c r="K231" s="498"/>
      <c r="L231" s="499">
        <f>M231+N231</f>
        <v>27000</v>
      </c>
      <c r="M231" s="500">
        <v>27000</v>
      </c>
      <c r="N231" s="500">
        <v>0</v>
      </c>
      <c r="O231" s="499">
        <f ca="1">O231:P232</f>
        <v>0</v>
      </c>
      <c r="P231" s="500">
        <v>6372</v>
      </c>
      <c r="Q231" s="500">
        <v>0</v>
      </c>
      <c r="R231" s="501">
        <v>0</v>
      </c>
      <c r="S231" s="499" t="e">
        <f>U231+#REF!</f>
        <v>#REF!</v>
      </c>
      <c r="T231" s="499" t="e">
        <f>U231+#REF!</f>
        <v>#REF!</v>
      </c>
      <c r="U231" s="500">
        <v>6372</v>
      </c>
      <c r="V231" s="241">
        <v>0</v>
      </c>
      <c r="W231" s="274">
        <f t="shared" ref="W231:W233" si="24">X231+Y231</f>
        <v>0</v>
      </c>
      <c r="X231" s="241">
        <v>0</v>
      </c>
      <c r="Y231" s="200"/>
      <c r="Z231" s="502"/>
      <c r="AA231" s="838"/>
      <c r="AB231" s="838"/>
      <c r="AC231" s="838"/>
      <c r="AD231" s="838"/>
      <c r="AE231" s="838"/>
      <c r="AF231" s="838"/>
      <c r="AG231" s="838"/>
      <c r="AH231" s="838"/>
      <c r="AI231" s="838"/>
      <c r="AJ231" s="838"/>
      <c r="AK231" s="838"/>
      <c r="AL231" s="838"/>
      <c r="AM231" s="838"/>
      <c r="AN231" s="838"/>
      <c r="AO231" s="838"/>
      <c r="AP231" s="838"/>
      <c r="AQ231" s="838"/>
      <c r="AR231" s="838"/>
      <c r="AS231" s="838"/>
      <c r="AT231" s="838"/>
    </row>
    <row r="232" spans="1:46" ht="13" thickBot="1" x14ac:dyDescent="0.3">
      <c r="A232" s="157"/>
      <c r="B232" s="197" t="s">
        <v>155</v>
      </c>
      <c r="C232" s="158"/>
      <c r="D232" s="158"/>
      <c r="E232" s="158"/>
      <c r="F232" s="158"/>
      <c r="G232" s="158"/>
      <c r="H232" s="158"/>
      <c r="I232" s="158"/>
      <c r="J232" s="496"/>
      <c r="K232" s="496" t="s">
        <v>156</v>
      </c>
      <c r="L232" s="165"/>
      <c r="M232" s="198">
        <v>10000</v>
      </c>
      <c r="N232" s="198"/>
      <c r="O232" s="165">
        <f t="shared" si="23"/>
        <v>0</v>
      </c>
      <c r="P232" s="198"/>
      <c r="Q232" s="198"/>
      <c r="R232" s="431">
        <v>0</v>
      </c>
      <c r="S232" s="165" t="e">
        <f>U232+#REF!</f>
        <v>#REF!</v>
      </c>
      <c r="T232" s="246" t="e">
        <f>U232+#REF!</f>
        <v>#REF!</v>
      </c>
      <c r="U232" s="252"/>
      <c r="V232" s="255">
        <v>0</v>
      </c>
      <c r="W232" s="274">
        <f t="shared" si="24"/>
        <v>0</v>
      </c>
      <c r="X232" s="255">
        <v>0</v>
      </c>
      <c r="Y232" s="200"/>
      <c r="Z232" s="242"/>
      <c r="AA232" s="838"/>
      <c r="AB232" s="838"/>
      <c r="AC232" s="838"/>
      <c r="AD232" s="838"/>
      <c r="AE232" s="838"/>
      <c r="AF232" s="838"/>
      <c r="AG232" s="838"/>
      <c r="AH232" s="838"/>
      <c r="AI232" s="838"/>
      <c r="AJ232" s="838"/>
      <c r="AK232" s="838"/>
      <c r="AL232" s="838"/>
      <c r="AM232" s="838"/>
      <c r="AN232" s="838"/>
      <c r="AO232" s="838"/>
      <c r="AP232" s="838"/>
      <c r="AQ232" s="838"/>
      <c r="AR232" s="838"/>
      <c r="AS232" s="838"/>
      <c r="AT232" s="838"/>
    </row>
    <row r="233" spans="1:46" ht="13" x14ac:dyDescent="0.3">
      <c r="A233" s="157"/>
      <c r="B233" s="503" t="s">
        <v>157</v>
      </c>
      <c r="C233" s="8"/>
      <c r="D233" s="8"/>
      <c r="E233" s="8"/>
      <c r="F233" s="8"/>
      <c r="G233" s="8"/>
      <c r="H233" s="8"/>
      <c r="I233" s="8"/>
      <c r="J233" s="504"/>
      <c r="K233" s="504"/>
      <c r="L233" s="505">
        <f>M233+N233</f>
        <v>120000</v>
      </c>
      <c r="M233" s="251">
        <v>0</v>
      </c>
      <c r="N233" s="425">
        <f>N234+N235</f>
        <v>120000</v>
      </c>
      <c r="O233" s="506">
        <f t="shared" si="23"/>
        <v>7500</v>
      </c>
      <c r="P233" s="381">
        <v>0</v>
      </c>
      <c r="Q233" s="507">
        <f>Q234+Q235</f>
        <v>7500</v>
      </c>
      <c r="R233" s="508">
        <f>R234+R235</f>
        <v>0</v>
      </c>
      <c r="S233" s="369">
        <v>0</v>
      </c>
      <c r="T233" s="506" t="e">
        <f>U233+#REF!</f>
        <v>#REF!</v>
      </c>
      <c r="U233" s="381">
        <v>0</v>
      </c>
      <c r="V233" s="884">
        <v>0</v>
      </c>
      <c r="W233" s="491">
        <f t="shared" si="24"/>
        <v>0</v>
      </c>
      <c r="X233" s="884">
        <v>0</v>
      </c>
      <c r="Y233" s="267"/>
      <c r="Z233" s="268"/>
      <c r="AA233" s="838"/>
      <c r="AB233" s="838"/>
      <c r="AC233" s="838"/>
      <c r="AD233" s="838"/>
      <c r="AE233" s="838"/>
      <c r="AF233" s="838"/>
      <c r="AG233" s="838"/>
      <c r="AH233" s="838"/>
      <c r="AI233" s="838"/>
      <c r="AJ233" s="838"/>
      <c r="AK233" s="838"/>
      <c r="AL233" s="838"/>
      <c r="AM233" s="838"/>
      <c r="AN233" s="838"/>
      <c r="AO233" s="838"/>
      <c r="AP233" s="838"/>
      <c r="AQ233" s="838"/>
      <c r="AR233" s="838"/>
      <c r="AS233" s="838"/>
      <c r="AT233" s="838"/>
    </row>
    <row r="234" spans="1:46" ht="13" thickBot="1" x14ac:dyDescent="0.3">
      <c r="A234" s="157"/>
      <c r="B234" s="509" t="s">
        <v>158</v>
      </c>
      <c r="C234" s="322"/>
      <c r="D234" s="322"/>
      <c r="E234" s="322"/>
      <c r="F234" s="322"/>
      <c r="G234" s="322"/>
      <c r="H234" s="322"/>
      <c r="I234" s="322"/>
      <c r="J234" s="510"/>
      <c r="K234" s="510"/>
      <c r="L234" s="511">
        <f>M234+N234</f>
        <v>120000</v>
      </c>
      <c r="M234" s="251">
        <v>0</v>
      </c>
      <c r="N234" s="252">
        <v>120000</v>
      </c>
      <c r="O234" s="389">
        <f t="shared" si="23"/>
        <v>0</v>
      </c>
      <c r="P234" s="381">
        <v>0</v>
      </c>
      <c r="Q234" s="381">
        <v>0</v>
      </c>
      <c r="R234" s="431">
        <f>O234/12/30586</f>
        <v>0</v>
      </c>
      <c r="S234" s="511" t="e">
        <f>U234+#REF!</f>
        <v>#REF!</v>
      </c>
      <c r="T234" s="389" t="e">
        <f>U234+#REF!</f>
        <v>#REF!</v>
      </c>
      <c r="U234" s="381">
        <v>0</v>
      </c>
      <c r="V234" s="255">
        <v>0</v>
      </c>
      <c r="W234" s="274">
        <v>0</v>
      </c>
      <c r="X234" s="255">
        <v>0</v>
      </c>
      <c r="Y234" s="200"/>
      <c r="Z234" s="242"/>
      <c r="AA234" s="838"/>
      <c r="AB234" s="838"/>
      <c r="AC234" s="838"/>
      <c r="AD234" s="838"/>
      <c r="AE234" s="838"/>
      <c r="AF234" s="838"/>
      <c r="AG234" s="838"/>
      <c r="AH234" s="838"/>
      <c r="AI234" s="838"/>
      <c r="AJ234" s="838"/>
      <c r="AK234" s="838"/>
      <c r="AL234" s="838"/>
      <c r="AM234" s="838"/>
      <c r="AN234" s="838"/>
      <c r="AO234" s="838"/>
      <c r="AP234" s="838"/>
      <c r="AQ234" s="838"/>
      <c r="AR234" s="838"/>
      <c r="AS234" s="838"/>
      <c r="AT234" s="838"/>
    </row>
    <row r="235" spans="1:46" ht="13.5" thickBot="1" x14ac:dyDescent="0.35">
      <c r="A235" s="157"/>
      <c r="B235" s="509" t="s">
        <v>159</v>
      </c>
      <c r="C235" s="322"/>
      <c r="D235" s="322"/>
      <c r="E235" s="512" t="s">
        <v>160</v>
      </c>
      <c r="F235" s="322"/>
      <c r="G235" s="322"/>
      <c r="H235" s="322"/>
      <c r="I235" s="322"/>
      <c r="J235" s="510"/>
      <c r="K235" s="510"/>
      <c r="L235" s="511"/>
      <c r="M235" s="251"/>
      <c r="N235" s="251"/>
      <c r="O235" s="165">
        <f t="shared" si="23"/>
        <v>7500</v>
      </c>
      <c r="P235" s="251"/>
      <c r="Q235" s="251">
        <v>7500</v>
      </c>
      <c r="R235" s="431">
        <v>0</v>
      </c>
      <c r="S235" s="165" t="e">
        <f>U235+#REF!</f>
        <v>#REF!</v>
      </c>
      <c r="T235" s="246" t="e">
        <f>U235+#REF!</f>
        <v>#REF!</v>
      </c>
      <c r="U235" s="252"/>
      <c r="V235" s="255">
        <f>W235+X235</f>
        <v>4000</v>
      </c>
      <c r="W235" s="274">
        <v>0</v>
      </c>
      <c r="X235" s="255">
        <v>4000</v>
      </c>
      <c r="Y235" s="200"/>
      <c r="Z235" s="242"/>
      <c r="AA235" s="838"/>
      <c r="AB235" s="838"/>
      <c r="AC235" s="838"/>
      <c r="AD235" s="838"/>
      <c r="AE235" s="838"/>
      <c r="AF235" s="838"/>
      <c r="AG235" s="838"/>
      <c r="AH235" s="838"/>
      <c r="AI235" s="838"/>
      <c r="AJ235" s="838"/>
      <c r="AK235" s="838"/>
      <c r="AL235" s="838"/>
      <c r="AM235" s="838"/>
      <c r="AN235" s="838"/>
      <c r="AO235" s="838"/>
      <c r="AP235" s="838"/>
      <c r="AQ235" s="838"/>
      <c r="AR235" s="838"/>
      <c r="AS235" s="838"/>
      <c r="AT235" s="838"/>
    </row>
    <row r="236" spans="1:46" ht="13.5" thickBot="1" x14ac:dyDescent="0.35">
      <c r="A236" s="181"/>
      <c r="B236" s="1572" t="s">
        <v>161</v>
      </c>
      <c r="C236" s="513"/>
      <c r="D236" s="513"/>
      <c r="E236" s="343"/>
      <c r="F236" s="343"/>
      <c r="G236" s="343"/>
      <c r="H236" s="343"/>
      <c r="I236" s="343"/>
      <c r="J236" s="496"/>
      <c r="K236" s="514"/>
      <c r="L236" s="511">
        <f>M236+N236</f>
        <v>10000</v>
      </c>
      <c r="M236" s="346">
        <v>0</v>
      </c>
      <c r="N236" s="346">
        <v>10000</v>
      </c>
      <c r="O236" s="511">
        <f t="shared" si="23"/>
        <v>0</v>
      </c>
      <c r="P236" s="346"/>
      <c r="Q236" s="346"/>
      <c r="R236" s="431">
        <f>O236/12/30586</f>
        <v>0</v>
      </c>
      <c r="S236" s="515" t="e">
        <f>U236+#REF!</f>
        <v>#REF!</v>
      </c>
      <c r="T236" s="246" t="e">
        <f>U236+#REF!</f>
        <v>#REF!</v>
      </c>
      <c r="U236" s="347"/>
      <c r="V236" s="1006">
        <f>W236+X236</f>
        <v>0</v>
      </c>
      <c r="W236" s="474">
        <v>0</v>
      </c>
      <c r="X236" s="1571">
        <v>0</v>
      </c>
      <c r="Y236" s="396"/>
      <c r="Z236" s="1807"/>
      <c r="AA236" s="1808"/>
      <c r="AB236" s="838"/>
      <c r="AC236" s="838"/>
      <c r="AD236" s="838"/>
      <c r="AE236" s="838"/>
      <c r="AF236" s="838"/>
      <c r="AG236" s="838"/>
      <c r="AH236" s="838"/>
      <c r="AI236" s="838"/>
      <c r="AJ236" s="838"/>
      <c r="AK236" s="838"/>
      <c r="AL236" s="838"/>
      <c r="AM236" s="838"/>
      <c r="AN236" s="838"/>
      <c r="AO236" s="838"/>
      <c r="AP236" s="838"/>
      <c r="AQ236" s="838"/>
      <c r="AR236" s="838"/>
      <c r="AS236" s="838"/>
      <c r="AT236" s="838"/>
    </row>
    <row r="237" spans="1:46" ht="14.5" thickBot="1" x14ac:dyDescent="0.35">
      <c r="A237" s="516"/>
      <c r="B237" s="1568" t="s">
        <v>595</v>
      </c>
      <c r="C237" s="798"/>
      <c r="D237" s="798"/>
      <c r="E237" s="1573"/>
      <c r="F237" s="1573"/>
      <c r="G237" s="1573"/>
      <c r="H237" s="1573"/>
      <c r="I237" s="1573"/>
      <c r="J237" s="1588" t="s">
        <v>156</v>
      </c>
      <c r="K237" s="1759" t="s">
        <v>162</v>
      </c>
      <c r="L237" s="1675"/>
      <c r="M237" s="1760"/>
      <c r="N237" s="1760"/>
      <c r="O237" s="1675"/>
      <c r="P237" s="1733"/>
      <c r="Q237" s="1733"/>
      <c r="R237" s="1761"/>
      <c r="S237" s="1675"/>
      <c r="T237" s="1675"/>
      <c r="U237" s="1733"/>
      <c r="V237" s="1762">
        <f>W237+X237</f>
        <v>0</v>
      </c>
      <c r="W237" s="1763">
        <v>0</v>
      </c>
      <c r="X237" s="1762">
        <v>0</v>
      </c>
      <c r="Y237" s="526"/>
      <c r="Z237" s="380"/>
      <c r="AA237" s="838"/>
      <c r="AB237" s="838"/>
      <c r="AC237" s="838"/>
      <c r="AD237" s="838"/>
      <c r="AE237" s="838"/>
      <c r="AF237" s="838"/>
      <c r="AG237" s="838"/>
      <c r="AH237" s="838"/>
      <c r="AI237" s="838"/>
      <c r="AJ237" s="838"/>
      <c r="AK237" s="838"/>
      <c r="AL237" s="838"/>
      <c r="AM237" s="838"/>
      <c r="AN237" s="838"/>
      <c r="AO237" s="838"/>
      <c r="AP237" s="838"/>
      <c r="AQ237" s="838"/>
      <c r="AR237" s="838"/>
      <c r="AS237" s="838"/>
      <c r="AT237" s="838"/>
    </row>
    <row r="238" spans="1:46" ht="15.75" customHeight="1" thickBot="1" x14ac:dyDescent="0.35">
      <c r="A238" s="181"/>
      <c r="B238" s="527" t="s">
        <v>432</v>
      </c>
      <c r="C238" s="848"/>
      <c r="D238" s="848"/>
      <c r="E238" s="938"/>
      <c r="F238" s="938"/>
      <c r="G238" s="458"/>
      <c r="H238" s="458"/>
      <c r="I238" s="458"/>
      <c r="J238" s="892"/>
      <c r="K238" s="238"/>
      <c r="L238" s="975">
        <f>L88+L99+L104+L148+L175+L203+L218+L221+L228+L233+L236</f>
        <v>12088723.800000001</v>
      </c>
      <c r="M238" s="1764">
        <f>M88+M99+M104+M148+M175+M203+M218+M221+M228</f>
        <v>6870835.9000000004</v>
      </c>
      <c r="N238" s="1764">
        <f>N88+N99+N104+N148+N175+N203+N218+N221+N228+N233+N236</f>
        <v>5217887.9000000004</v>
      </c>
      <c r="O238" s="975">
        <f>O88+O99+O104+O148+O175+O203+O218+O221+O228+O233+O236</f>
        <v>9472824.6400000006</v>
      </c>
      <c r="P238" s="1765">
        <f>P88+P99+P104+P148+P175+P203+P218+P221+P228+P236</f>
        <v>5352011.9400000004</v>
      </c>
      <c r="Q238" s="1765">
        <f>Q88+Q99+Q104+Q148+Q175+Q203+Q218+Q221+Q233+Q236</f>
        <v>4120812.7</v>
      </c>
      <c r="R238" s="1766">
        <f>R88+R99+R104+R148+R175+R203+R218+R221+R228+R233</f>
        <v>25.881006473549995</v>
      </c>
      <c r="S238" s="1766" t="e">
        <f>S88+S99+S104+S148+S175+S203+S218+S221+S228+S233+S236</f>
        <v>#REF!</v>
      </c>
      <c r="T238" s="975" t="e">
        <f>T88+T99+T104+T148+T175+T203+T218+T221+T228+T233+T236</f>
        <v>#REF!</v>
      </c>
      <c r="U238" s="1765">
        <f>U88+U99+U104+U148+U175+U203+U218+U221+U228+U236</f>
        <v>6268358</v>
      </c>
      <c r="V238" s="975">
        <f>V88+V99+V104+V148+V175+V203+V218+V221+V228+V233+V236+V237</f>
        <v>12211895.740000002</v>
      </c>
      <c r="W238" s="975">
        <f>W88+W99+W104+W148+W175+W203+W218+W221+W228+W233+W236+W237</f>
        <v>6574861.8650000002</v>
      </c>
      <c r="X238" s="975">
        <f>X88+X99+X104+X148+X175+X203+X218+X221+X228+X233+X236+X237</f>
        <v>5637033.875</v>
      </c>
      <c r="Y238" s="536">
        <f>Y88+Y99+Y104+Y148+Y175+Y203+Y218+Y221+Y233+Y236</f>
        <v>0</v>
      </c>
      <c r="Z238" s="997"/>
      <c r="AA238" s="435"/>
      <c r="AB238" s="838"/>
      <c r="AC238" s="838"/>
      <c r="AD238" s="838"/>
      <c r="AE238" s="838"/>
      <c r="AF238" s="838"/>
      <c r="AG238" s="838"/>
      <c r="AH238" s="838"/>
      <c r="AI238" s="838"/>
      <c r="AJ238" s="838"/>
      <c r="AK238" s="838"/>
      <c r="AL238" s="838"/>
      <c r="AM238" s="838"/>
      <c r="AN238" s="838"/>
      <c r="AO238" s="838"/>
      <c r="AP238" s="838"/>
      <c r="AQ238" s="838"/>
      <c r="AR238" s="838"/>
      <c r="AS238" s="838"/>
      <c r="AT238" s="838"/>
    </row>
    <row r="239" spans="1:46" ht="13.5" thickBot="1" x14ac:dyDescent="0.35">
      <c r="A239" s="23"/>
      <c r="B239" s="104"/>
      <c r="C239" s="850"/>
      <c r="D239" s="850"/>
      <c r="E239" s="893"/>
      <c r="F239" s="893"/>
      <c r="G239" s="893"/>
      <c r="H239" s="893"/>
      <c r="I239" s="893"/>
      <c r="J239" s="1758" t="s">
        <v>442</v>
      </c>
      <c r="K239" s="1767" t="s">
        <v>163</v>
      </c>
      <c r="L239" s="539">
        <f t="shared" ref="L239:Q239" si="25">L84-L238</f>
        <v>-3928.8000000007451</v>
      </c>
      <c r="M239" s="539">
        <f t="shared" si="25"/>
        <v>-77880.900000000373</v>
      </c>
      <c r="N239" s="539">
        <f t="shared" si="25"/>
        <v>73952.099999999627</v>
      </c>
      <c r="O239" s="539">
        <f t="shared" si="25"/>
        <v>5272.7399999983609</v>
      </c>
      <c r="P239" s="539">
        <f t="shared" si="25"/>
        <v>-25180.920000000857</v>
      </c>
      <c r="Q239" s="539">
        <f t="shared" si="25"/>
        <v>30453.659999999683</v>
      </c>
      <c r="R239" s="885"/>
      <c r="S239" s="885"/>
      <c r="T239" s="539" t="e">
        <f t="shared" ref="T239:Y239" si="26">T84-T238</f>
        <v>#REF!</v>
      </c>
      <c r="U239" s="539">
        <f t="shared" si="26"/>
        <v>113890.29000000004</v>
      </c>
      <c r="V239" s="539">
        <f t="shared" si="26"/>
        <v>322.09999999776483</v>
      </c>
      <c r="W239" s="539">
        <f t="shared" si="26"/>
        <v>-1420.8050000006333</v>
      </c>
      <c r="X239" s="539">
        <f t="shared" si="26"/>
        <v>1742.9050000002608</v>
      </c>
      <c r="Y239" s="542">
        <f t="shared" si="26"/>
        <v>5255096</v>
      </c>
      <c r="Z239" s="838"/>
      <c r="AA239" s="838"/>
      <c r="AB239" s="838"/>
      <c r="AC239" s="838"/>
      <c r="AD239" s="838"/>
      <c r="AE239" s="838"/>
      <c r="AF239" s="838"/>
      <c r="AG239" s="838"/>
      <c r="AH239" s="838"/>
      <c r="AI239" s="838"/>
      <c r="AJ239" s="838"/>
      <c r="AK239" s="838"/>
      <c r="AL239" s="838"/>
      <c r="AM239" s="838"/>
      <c r="AN239" s="838"/>
      <c r="AO239" s="838"/>
      <c r="AP239" s="838"/>
      <c r="AQ239" s="838"/>
      <c r="AR239" s="838"/>
      <c r="AS239" s="838"/>
      <c r="AT239" s="838"/>
    </row>
    <row r="240" spans="1:46" ht="27" customHeight="1" x14ac:dyDescent="0.35">
      <c r="A240" s="23"/>
      <c r="B240" s="897"/>
      <c r="C240" s="850"/>
      <c r="D240" s="850"/>
      <c r="E240" s="850"/>
      <c r="F240" s="850"/>
      <c r="G240" s="850"/>
      <c r="H240" s="850"/>
      <c r="I240" s="850"/>
      <c r="J240" s="850"/>
      <c r="K240" s="850"/>
      <c r="L240" s="856"/>
      <c r="M240" s="856"/>
      <c r="N240" s="856"/>
      <c r="O240" s="838"/>
      <c r="P240" s="838"/>
      <c r="Q240" s="838"/>
      <c r="R240" s="838"/>
      <c r="S240" s="838"/>
      <c r="T240" s="860"/>
      <c r="U240" s="839"/>
      <c r="V240" s="838"/>
      <c r="W240" s="1809"/>
      <c r="X240" s="1810"/>
      <c r="Y240" s="836"/>
      <c r="Z240" s="893"/>
      <c r="AA240" s="838"/>
      <c r="AB240" s="838"/>
      <c r="AC240" s="838"/>
      <c r="AD240" s="838"/>
      <c r="AE240" s="838"/>
      <c r="AF240" s="838"/>
      <c r="AG240" s="838"/>
      <c r="AH240" s="838"/>
      <c r="AI240" s="838"/>
      <c r="AJ240" s="838"/>
      <c r="AK240" s="838"/>
      <c r="AL240" s="838"/>
      <c r="AM240" s="838"/>
      <c r="AN240" s="838"/>
      <c r="AO240" s="838"/>
      <c r="AP240" s="838"/>
      <c r="AQ240" s="838"/>
      <c r="AR240" s="838"/>
      <c r="AS240" s="838"/>
      <c r="AT240" s="838"/>
    </row>
    <row r="241" spans="1:46" ht="27" customHeight="1" x14ac:dyDescent="0.3">
      <c r="A241" s="838"/>
      <c r="B241" s="839" t="s">
        <v>585</v>
      </c>
      <c r="C241" s="850"/>
      <c r="D241" s="850"/>
      <c r="E241" s="850"/>
      <c r="F241" s="850"/>
      <c r="G241" s="850"/>
      <c r="H241" s="850"/>
      <c r="I241" s="850"/>
      <c r="J241" s="850"/>
      <c r="K241" s="850"/>
      <c r="L241" s="856"/>
      <c r="M241" s="856"/>
      <c r="N241" s="856"/>
      <c r="O241" s="838"/>
      <c r="P241" s="838"/>
      <c r="Q241" s="838"/>
      <c r="R241" s="838"/>
      <c r="S241" s="838"/>
      <c r="T241" s="860"/>
      <c r="U241" s="839"/>
      <c r="V241" s="838"/>
      <c r="W241" s="1885"/>
      <c r="X241" s="1886"/>
      <c r="Y241" s="836"/>
      <c r="Z241" s="893"/>
      <c r="AA241" s="838"/>
      <c r="AB241" s="838"/>
      <c r="AC241" s="838"/>
      <c r="AD241" s="838"/>
      <c r="AE241" s="838"/>
      <c r="AF241" s="838"/>
      <c r="AG241" s="838"/>
      <c r="AH241" s="838"/>
      <c r="AI241" s="838"/>
      <c r="AJ241" s="838"/>
      <c r="AK241" s="838"/>
      <c r="AL241" s="838"/>
      <c r="AM241" s="838"/>
      <c r="AN241" s="838"/>
      <c r="AO241" s="838"/>
      <c r="AP241" s="838"/>
      <c r="AQ241" s="838"/>
      <c r="AR241" s="838"/>
      <c r="AS241" s="838"/>
      <c r="AT241" s="838"/>
    </row>
    <row r="242" spans="1:46" ht="15.5" x14ac:dyDescent="0.35">
      <c r="A242" s="23"/>
      <c r="B242" s="850"/>
      <c r="C242" s="866"/>
      <c r="D242" s="860"/>
      <c r="E242" s="860"/>
      <c r="F242" s="860"/>
      <c r="G242" s="860"/>
      <c r="H242" s="850"/>
      <c r="I242" s="850"/>
      <c r="J242" s="850"/>
      <c r="K242" s="850"/>
      <c r="L242" s="856"/>
      <c r="M242" s="856"/>
      <c r="N242" s="856"/>
      <c r="O242" s="877"/>
      <c r="P242" s="877"/>
      <c r="Q242" s="877"/>
      <c r="R242" s="838"/>
      <c r="S242" s="838"/>
      <c r="T242" s="838"/>
      <c r="U242" s="838"/>
      <c r="V242" s="838"/>
      <c r="W242" s="1805"/>
      <c r="X242" s="1811"/>
      <c r="Z242" s="838"/>
      <c r="AA242" s="838"/>
      <c r="AB242" s="838"/>
      <c r="AC242" s="838"/>
      <c r="AD242" s="838"/>
      <c r="AE242" s="838"/>
      <c r="AF242" s="838"/>
      <c r="AG242" s="838"/>
      <c r="AH242" s="838"/>
      <c r="AI242" s="838"/>
      <c r="AJ242" s="838"/>
      <c r="AK242" s="838"/>
      <c r="AL242" s="838"/>
      <c r="AM242" s="838"/>
      <c r="AN242" s="838"/>
      <c r="AO242" s="838"/>
      <c r="AP242" s="838"/>
      <c r="AQ242" s="838"/>
      <c r="AR242" s="838"/>
      <c r="AS242" s="838"/>
      <c r="AT242" s="838"/>
    </row>
    <row r="243" spans="1:46" ht="15.5" x14ac:dyDescent="0.35">
      <c r="A243" s="23"/>
      <c r="B243" s="20" t="s">
        <v>287</v>
      </c>
      <c r="C243" s="543"/>
      <c r="D243" s="543"/>
      <c r="E243" s="543"/>
      <c r="F243" s="543"/>
      <c r="G243" s="543"/>
      <c r="H243" s="543"/>
      <c r="I243" s="543"/>
      <c r="J243" s="543"/>
      <c r="K243" s="543"/>
      <c r="L243" s="544"/>
      <c r="M243" s="545"/>
      <c r="N243" s="546"/>
      <c r="P243" s="23"/>
      <c r="T243" s="18" t="s">
        <v>164</v>
      </c>
      <c r="U243" s="19" t="s">
        <v>165</v>
      </c>
      <c r="V243" s="838"/>
      <c r="W243" s="1805"/>
      <c r="X243" s="1811"/>
      <c r="Z243" s="893"/>
      <c r="AA243" s="838"/>
      <c r="AB243" s="838"/>
      <c r="AC243" s="838"/>
      <c r="AD243" s="838"/>
      <c r="AE243" s="838"/>
      <c r="AF243" s="838"/>
      <c r="AG243" s="838"/>
      <c r="AH243" s="838"/>
      <c r="AI243" s="838"/>
      <c r="AJ243" s="838"/>
      <c r="AK243" s="838"/>
      <c r="AL243" s="838"/>
      <c r="AM243" s="838"/>
      <c r="AN243" s="838"/>
      <c r="AO243" s="838"/>
      <c r="AP243" s="838"/>
      <c r="AQ243" s="838"/>
      <c r="AR243" s="838"/>
      <c r="AS243" s="838"/>
      <c r="AT243" s="838"/>
    </row>
    <row r="244" spans="1:46" ht="15.5" x14ac:dyDescent="0.35">
      <c r="A244" s="23"/>
      <c r="B244" s="104"/>
      <c r="C244" s="547" t="s">
        <v>166</v>
      </c>
      <c r="D244" s="22"/>
      <c r="E244" s="22"/>
      <c r="F244" s="22"/>
      <c r="G244" s="22"/>
      <c r="H244" s="543"/>
      <c r="I244" s="543"/>
      <c r="J244" s="543"/>
      <c r="K244" s="543"/>
      <c r="L244" s="544"/>
      <c r="M244" s="544"/>
      <c r="N244" s="544"/>
      <c r="O244" s="548"/>
      <c r="P244" s="548"/>
      <c r="Q244" s="548"/>
      <c r="R244" s="10"/>
      <c r="S244" s="10"/>
      <c r="T244" s="10"/>
      <c r="U244" s="10"/>
      <c r="V244" s="838"/>
      <c r="W244" s="877"/>
      <c r="X244" s="549"/>
      <c r="Z244" s="893"/>
      <c r="AA244" s="838"/>
      <c r="AB244" s="838"/>
      <c r="AC244" s="838"/>
      <c r="AD244" s="838"/>
      <c r="AE244" s="838"/>
      <c r="AF244" s="838"/>
      <c r="AG244" s="838"/>
      <c r="AH244" s="838"/>
      <c r="AI244" s="838"/>
      <c r="AJ244" s="838"/>
      <c r="AK244" s="838"/>
      <c r="AL244" s="838"/>
      <c r="AM244" s="838"/>
      <c r="AN244" s="838"/>
      <c r="AO244" s="838"/>
      <c r="AP244" s="838"/>
      <c r="AQ244" s="838"/>
      <c r="AR244" s="838"/>
      <c r="AS244" s="838"/>
      <c r="AT244" s="838"/>
    </row>
    <row r="245" spans="1:46" ht="13" x14ac:dyDescent="0.3">
      <c r="A245" s="839"/>
      <c r="B245" s="14"/>
      <c r="C245" s="860"/>
      <c r="D245" s="860"/>
      <c r="E245" s="860"/>
      <c r="F245" s="860"/>
      <c r="G245" s="860"/>
      <c r="H245" s="14"/>
      <c r="I245" s="14"/>
      <c r="J245" s="14"/>
      <c r="K245" s="14"/>
      <c r="L245" s="634"/>
      <c r="M245" s="634"/>
      <c r="N245" s="634"/>
      <c r="O245" s="14"/>
      <c r="P245" s="14"/>
      <c r="Q245" s="36"/>
      <c r="R245" s="14"/>
      <c r="S245" s="14"/>
      <c r="T245" s="634"/>
      <c r="U245" s="14"/>
      <c r="V245" s="14"/>
      <c r="Z245" s="838"/>
      <c r="AA245" s="838"/>
      <c r="AB245" s="838"/>
      <c r="AC245" s="838"/>
      <c r="AD245" s="838"/>
      <c r="AE245" s="838"/>
      <c r="AF245" s="838"/>
      <c r="AG245" s="838"/>
      <c r="AH245" s="838"/>
      <c r="AI245" s="838"/>
      <c r="AJ245" s="838"/>
      <c r="AK245" s="838"/>
      <c r="AL245" s="838"/>
      <c r="AM245" s="838"/>
      <c r="AN245" s="838"/>
      <c r="AO245" s="838"/>
      <c r="AP245" s="838"/>
      <c r="AQ245" s="838"/>
      <c r="AR245" s="838"/>
      <c r="AS245" s="838"/>
      <c r="AT245" s="838"/>
    </row>
    <row r="246" spans="1:46" ht="13" x14ac:dyDescent="0.3">
      <c r="A246" s="23"/>
      <c r="B246" s="1278" t="s">
        <v>292</v>
      </c>
      <c r="C246" s="882"/>
      <c r="D246" s="882"/>
      <c r="E246" s="882"/>
      <c r="F246" s="882"/>
      <c r="G246" s="882"/>
      <c r="H246" s="882"/>
      <c r="I246" s="635">
        <f>J249+J248+J250</f>
        <v>645504</v>
      </c>
      <c r="J246" s="882" t="s">
        <v>167</v>
      </c>
      <c r="K246" s="839"/>
      <c r="L246" s="882"/>
      <c r="M246" s="860"/>
      <c r="N246" s="1637"/>
      <c r="O246" s="1637"/>
      <c r="P246" s="1637"/>
      <c r="Q246" s="860"/>
      <c r="R246" s="860"/>
      <c r="S246" s="839"/>
      <c r="T246" s="860"/>
      <c r="U246" s="860"/>
      <c r="V246" s="860"/>
      <c r="W246" s="550"/>
      <c r="X246" s="550"/>
      <c r="Y246" s="551"/>
      <c r="Z246" s="838"/>
      <c r="AA246" s="838"/>
      <c r="AB246" s="838"/>
      <c r="AC246" s="838"/>
      <c r="AD246" s="838"/>
      <c r="AE246" s="838"/>
      <c r="AF246" s="838"/>
      <c r="AG246" s="838"/>
      <c r="AH246" s="838"/>
      <c r="AI246" s="838"/>
      <c r="AJ246" s="838"/>
      <c r="AK246" s="838"/>
      <c r="AL246" s="838"/>
      <c r="AM246" s="838"/>
      <c r="AN246" s="838"/>
      <c r="AO246" s="838"/>
      <c r="AP246" s="838"/>
      <c r="AQ246" s="838"/>
      <c r="AR246" s="838"/>
      <c r="AS246" s="838"/>
      <c r="AT246" s="838"/>
    </row>
    <row r="247" spans="1:46" ht="13" x14ac:dyDescent="0.3">
      <c r="A247" s="23"/>
      <c r="B247" s="29" t="s">
        <v>19</v>
      </c>
      <c r="C247" s="882"/>
      <c r="D247" s="882"/>
      <c r="E247" s="882"/>
      <c r="F247" s="882"/>
      <c r="G247" s="882"/>
      <c r="H247" s="882"/>
      <c r="I247" s="882"/>
      <c r="J247" s="882"/>
      <c r="K247" s="860"/>
      <c r="L247" s="1637"/>
      <c r="M247" s="1637"/>
      <c r="N247" s="1637"/>
      <c r="O247" s="860"/>
      <c r="P247" s="860"/>
      <c r="Q247" s="839"/>
      <c r="R247" s="860"/>
      <c r="S247" s="860"/>
      <c r="T247" s="860"/>
      <c r="U247" s="860"/>
      <c r="V247" s="860"/>
      <c r="W247" s="26"/>
      <c r="X247" s="26"/>
      <c r="Y247" s="26"/>
      <c r="Z247" s="838"/>
      <c r="AA247" s="838"/>
      <c r="AB247" s="838"/>
      <c r="AC247" s="838"/>
      <c r="AD247" s="838"/>
      <c r="AE247" s="838"/>
      <c r="AF247" s="838"/>
      <c r="AG247" s="838"/>
      <c r="AH247" s="838"/>
      <c r="AI247" s="838"/>
      <c r="AJ247" s="838"/>
      <c r="AK247" s="838"/>
      <c r="AL247" s="838"/>
      <c r="AM247" s="838"/>
      <c r="AN247" s="838"/>
      <c r="AO247" s="838"/>
      <c r="AP247" s="838"/>
      <c r="AQ247" s="838"/>
      <c r="AR247" s="838"/>
      <c r="AS247" s="838"/>
      <c r="AT247" s="838"/>
    </row>
    <row r="248" spans="1:46" ht="13" x14ac:dyDescent="0.3">
      <c r="A248" s="860"/>
      <c r="B248" s="882" t="s">
        <v>168</v>
      </c>
      <c r="C248" s="882"/>
      <c r="D248" s="882"/>
      <c r="E248" s="1638"/>
      <c r="F248" s="882"/>
      <c r="G248" s="882"/>
      <c r="H248" s="882"/>
      <c r="I248" s="860"/>
      <c r="J248" s="860">
        <v>320164</v>
      </c>
      <c r="K248" s="860"/>
      <c r="L248" s="1637"/>
      <c r="M248" s="1637"/>
      <c r="N248" s="1637"/>
      <c r="O248" s="860"/>
      <c r="P248" s="860"/>
      <c r="Q248" s="839"/>
      <c r="R248" s="860"/>
      <c r="S248" s="860"/>
      <c r="T248" s="860"/>
      <c r="U248" s="860"/>
      <c r="V248" s="860" t="s">
        <v>167</v>
      </c>
      <c r="W248" s="1095"/>
      <c r="X248" s="550"/>
      <c r="Y248" s="550"/>
      <c r="Z248" s="838"/>
      <c r="AA248" s="838"/>
      <c r="AB248" s="838"/>
      <c r="AC248" s="847"/>
      <c r="AD248" s="32"/>
      <c r="AE248" s="838"/>
      <c r="AF248" s="838"/>
      <c r="AG248" s="838"/>
      <c r="AH248" s="838"/>
      <c r="AI248" s="838"/>
      <c r="AJ248" s="838"/>
      <c r="AK248" s="838"/>
      <c r="AL248" s="838"/>
      <c r="AM248" s="838"/>
      <c r="AN248" s="838"/>
      <c r="AO248" s="838"/>
      <c r="AP248" s="838"/>
      <c r="AQ248" s="838"/>
      <c r="AR248" s="838"/>
      <c r="AS248" s="838"/>
      <c r="AT248" s="838"/>
    </row>
    <row r="249" spans="1:46" ht="13" x14ac:dyDescent="0.3">
      <c r="A249" s="25"/>
      <c r="B249" s="882" t="s">
        <v>169</v>
      </c>
      <c r="C249" s="882"/>
      <c r="D249" s="882"/>
      <c r="E249" s="1639"/>
      <c r="F249" s="860"/>
      <c r="G249" s="882"/>
      <c r="H249" s="882"/>
      <c r="I249" s="882"/>
      <c r="J249" s="860">
        <v>280340</v>
      </c>
      <c r="K249" s="860" t="s">
        <v>167</v>
      </c>
      <c r="L249" s="860"/>
      <c r="M249" s="839"/>
      <c r="N249" s="580"/>
      <c r="O249" s="839"/>
      <c r="P249" s="839"/>
      <c r="Q249" s="860"/>
      <c r="R249" s="860"/>
      <c r="S249" s="860"/>
      <c r="T249" s="860"/>
      <c r="U249" s="860"/>
      <c r="V249" s="860"/>
      <c r="W249" s="550"/>
      <c r="X249" s="550"/>
      <c r="Y249" s="550"/>
      <c r="Z249" s="838"/>
      <c r="AA249" s="838"/>
      <c r="AC249" s="847"/>
      <c r="AD249" s="6"/>
      <c r="AE249" s="203"/>
    </row>
    <row r="250" spans="1:46" ht="13" x14ac:dyDescent="0.3">
      <c r="A250" s="980" t="s">
        <v>293</v>
      </c>
      <c r="B250" s="1278" t="s">
        <v>172</v>
      </c>
      <c r="C250" s="1278"/>
      <c r="D250" s="1278"/>
      <c r="E250" s="1279"/>
      <c r="F250" s="1278"/>
      <c r="G250" s="1278"/>
      <c r="H250" s="882"/>
      <c r="I250" s="882" t="s">
        <v>281</v>
      </c>
      <c r="J250" s="1280">
        <v>45000</v>
      </c>
      <c r="K250" s="860" t="s">
        <v>167</v>
      </c>
      <c r="L250" s="860"/>
      <c r="M250" s="839"/>
      <c r="N250" s="580"/>
      <c r="O250" s="839"/>
      <c r="P250" s="839"/>
      <c r="Q250" s="860"/>
      <c r="R250" s="860"/>
      <c r="S250" s="860"/>
      <c r="T250" s="860"/>
      <c r="U250" s="860"/>
      <c r="V250" s="860"/>
      <c r="W250" s="550"/>
      <c r="X250" s="550"/>
      <c r="Y250" s="550"/>
      <c r="Z250" s="838"/>
      <c r="AA250" s="838"/>
      <c r="AC250" s="847"/>
      <c r="AD250" s="32"/>
      <c r="AE250" s="203"/>
    </row>
    <row r="251" spans="1:46" ht="13" x14ac:dyDescent="0.3">
      <c r="A251" s="23"/>
      <c r="B251" s="1278"/>
      <c r="C251" s="1278"/>
      <c r="D251" s="1278"/>
      <c r="E251" s="1278"/>
      <c r="F251" s="1278"/>
      <c r="G251" s="1278"/>
      <c r="H251" s="882"/>
      <c r="I251" s="882"/>
      <c r="J251" s="18"/>
      <c r="K251" s="18"/>
      <c r="L251" s="19"/>
      <c r="M251" s="19"/>
      <c r="N251" s="133"/>
      <c r="O251" s="19"/>
      <c r="P251" s="19"/>
      <c r="Q251" s="18"/>
      <c r="R251" s="18"/>
      <c r="S251" s="18"/>
      <c r="T251" s="18"/>
      <c r="U251" s="19"/>
      <c r="V251" s="18"/>
      <c r="W251" s="550"/>
      <c r="X251" s="1281"/>
      <c r="Y251" s="550"/>
      <c r="Z251" s="838"/>
      <c r="AA251" s="838"/>
      <c r="AC251" s="847"/>
    </row>
    <row r="252" spans="1:46" ht="13" x14ac:dyDescent="0.3">
      <c r="A252" s="23"/>
      <c r="B252" s="1278"/>
      <c r="C252" s="1273"/>
      <c r="D252" s="1273"/>
      <c r="E252" s="1273"/>
      <c r="F252" s="1273"/>
      <c r="G252" s="1273"/>
      <c r="H252" s="893"/>
      <c r="I252" s="882"/>
      <c r="J252" s="18"/>
      <c r="K252" s="18"/>
      <c r="L252" s="552"/>
      <c r="M252" s="552"/>
      <c r="N252" s="553"/>
      <c r="O252" s="552"/>
      <c r="P252" s="552"/>
      <c r="Q252" s="26"/>
      <c r="R252" s="26"/>
      <c r="S252" s="26"/>
      <c r="T252" s="26"/>
      <c r="U252" s="552"/>
      <c r="V252" s="18"/>
      <c r="W252" s="26"/>
      <c r="X252" s="552"/>
      <c r="Y252" s="26"/>
      <c r="AC252" s="189"/>
    </row>
    <row r="253" spans="1:46" ht="13" x14ac:dyDescent="0.3">
      <c r="A253" s="23"/>
      <c r="B253" s="1278"/>
      <c r="C253" s="1273"/>
      <c r="D253" s="1273"/>
      <c r="E253" s="1273"/>
      <c r="F253" s="1273"/>
      <c r="G253" s="1273"/>
      <c r="H253" s="893"/>
      <c r="I253" s="882"/>
      <c r="J253" s="18"/>
      <c r="K253" s="18"/>
      <c r="L253" s="552"/>
      <c r="M253" s="552"/>
      <c r="N253" s="553"/>
      <c r="O253" s="552"/>
      <c r="P253" s="552"/>
      <c r="Q253" s="26"/>
      <c r="R253" s="26"/>
      <c r="S253" s="26"/>
      <c r="T253" s="26"/>
      <c r="U253" s="552"/>
      <c r="V253" s="18"/>
      <c r="W253" s="26"/>
      <c r="X253" s="552"/>
      <c r="Y253" s="26"/>
      <c r="AC253" s="189"/>
    </row>
    <row r="254" spans="1:46" ht="13" x14ac:dyDescent="0.3">
      <c r="A254" s="23"/>
      <c r="B254" s="1278"/>
      <c r="C254" s="1278"/>
      <c r="D254" s="1278"/>
      <c r="E254" s="1278"/>
      <c r="F254" s="1273"/>
      <c r="G254" s="1273"/>
      <c r="H254" s="935"/>
      <c r="I254" s="893"/>
      <c r="J254" s="18"/>
      <c r="K254" s="18"/>
      <c r="L254" s="552"/>
      <c r="M254" s="552"/>
      <c r="N254" s="553"/>
      <c r="O254" s="552"/>
      <c r="P254" s="552"/>
      <c r="Q254" s="26"/>
      <c r="R254" s="26"/>
      <c r="S254" s="26"/>
      <c r="T254" s="26"/>
      <c r="U254" s="552"/>
      <c r="V254" s="18"/>
      <c r="W254" s="26"/>
      <c r="X254" s="552"/>
      <c r="Y254" s="26"/>
      <c r="AC254" s="189"/>
    </row>
    <row r="255" spans="1:46" ht="13.5" thickBot="1" x14ac:dyDescent="0.35">
      <c r="A255" s="23"/>
      <c r="B255" s="882"/>
      <c r="C255" s="893"/>
      <c r="D255" s="893"/>
      <c r="E255" s="893"/>
      <c r="F255" s="893"/>
      <c r="G255" s="893"/>
      <c r="H255" s="893"/>
      <c r="I255" s="882"/>
      <c r="J255" s="860"/>
      <c r="K255" s="26"/>
      <c r="L255" s="552"/>
      <c r="M255" s="552"/>
      <c r="N255" s="553"/>
      <c r="O255" s="552"/>
      <c r="P255" s="552"/>
      <c r="Q255" s="26"/>
      <c r="R255" s="26"/>
      <c r="S255" s="26"/>
      <c r="T255" s="26"/>
      <c r="U255" s="552"/>
      <c r="V255" s="26"/>
      <c r="W255" s="26"/>
      <c r="X255" s="552"/>
      <c r="Y255" s="26"/>
      <c r="AC255" s="189"/>
    </row>
    <row r="256" spans="1:46" ht="13.5" thickBot="1" x14ac:dyDescent="0.35">
      <c r="B256" s="882"/>
      <c r="C256" s="882"/>
      <c r="D256" s="882"/>
      <c r="E256" s="882"/>
      <c r="F256" s="893"/>
      <c r="G256" s="893"/>
      <c r="H256" s="935"/>
      <c r="I256" s="893"/>
      <c r="J256" s="860"/>
      <c r="K256" s="26"/>
      <c r="L256" s="552"/>
      <c r="M256" s="552"/>
      <c r="N256" s="553"/>
      <c r="O256" s="552"/>
      <c r="P256" s="552"/>
      <c r="Q256" s="26"/>
      <c r="R256" s="26"/>
      <c r="S256" s="26"/>
      <c r="T256" s="556"/>
      <c r="U256" s="556"/>
      <c r="V256" s="1767" t="s">
        <v>284</v>
      </c>
      <c r="W256" s="944" t="s">
        <v>177</v>
      </c>
      <c r="X256" s="943" t="s">
        <v>178</v>
      </c>
      <c r="Y256" s="26"/>
      <c r="AC256" s="23"/>
      <c r="AD256" s="32"/>
    </row>
    <row r="257" spans="1:62" ht="13.5" thickBot="1" x14ac:dyDescent="0.35">
      <c r="B257" s="71"/>
      <c r="C257" s="71"/>
      <c r="D257" s="71"/>
      <c r="E257" s="64"/>
      <c r="F257" s="981" t="s">
        <v>180</v>
      </c>
      <c r="G257" s="987">
        <v>645504</v>
      </c>
      <c r="H257" s="981" t="s">
        <v>167</v>
      </c>
      <c r="I257" s="71"/>
      <c r="J257" s="104"/>
      <c r="K257" s="104"/>
      <c r="L257" s="557">
        <v>868830</v>
      </c>
      <c r="M257" s="557">
        <v>435232</v>
      </c>
      <c r="N257" s="557">
        <v>433498</v>
      </c>
      <c r="O257" s="557">
        <f>P257+Q257</f>
        <v>708805.70000000007</v>
      </c>
      <c r="P257" s="557">
        <f>310468.3+52471.22</f>
        <v>362939.52</v>
      </c>
      <c r="Q257" s="557">
        <f>293394.96+52471.22</f>
        <v>345866.18000000005</v>
      </c>
      <c r="R257" s="557">
        <v>0</v>
      </c>
      <c r="S257" s="557">
        <v>0</v>
      </c>
      <c r="T257" s="558" t="e">
        <f>U257+#REF!</f>
        <v>#REF!</v>
      </c>
      <c r="U257" s="558">
        <f>372561.96+61932.8</f>
        <v>434494.76</v>
      </c>
      <c r="V257" s="1768">
        <f>W257+X257</f>
        <v>645504</v>
      </c>
      <c r="W257" s="1768">
        <f>J248+J250/2</f>
        <v>342664</v>
      </c>
      <c r="X257" s="1768">
        <f>J249+J250/2</f>
        <v>302840</v>
      </c>
      <c r="Y257" s="560"/>
      <c r="Z257" s="561"/>
      <c r="AA257" s="1147"/>
      <c r="AB257" s="1147"/>
      <c r="AC257" s="23"/>
      <c r="AD257" s="32"/>
    </row>
    <row r="258" spans="1:62" ht="13" x14ac:dyDescent="0.3">
      <c r="A258" s="562"/>
      <c r="B258" s="563"/>
      <c r="C258" s="564"/>
      <c r="D258" s="564"/>
      <c r="E258" s="564" t="s">
        <v>44</v>
      </c>
      <c r="F258" s="564"/>
      <c r="G258" s="564"/>
      <c r="H258" s="564"/>
      <c r="I258" s="564"/>
      <c r="J258" s="564"/>
      <c r="K258" s="565"/>
      <c r="L258" s="566" t="s">
        <v>45</v>
      </c>
      <c r="M258" s="557" t="s">
        <v>46</v>
      </c>
      <c r="N258" s="566" t="s">
        <v>46</v>
      </c>
      <c r="O258" s="566" t="s">
        <v>45</v>
      </c>
      <c r="P258" s="557" t="s">
        <v>46</v>
      </c>
      <c r="Q258" s="566" t="s">
        <v>46</v>
      </c>
      <c r="R258" s="126"/>
      <c r="S258" s="126"/>
      <c r="T258" s="566" t="s">
        <v>45</v>
      </c>
      <c r="U258" s="557" t="s">
        <v>46</v>
      </c>
      <c r="V258" s="990" t="s">
        <v>45</v>
      </c>
      <c r="W258" s="930" t="s">
        <v>47</v>
      </c>
      <c r="X258" s="933" t="s">
        <v>47</v>
      </c>
      <c r="Y258" s="567"/>
      <c r="Z258" s="568"/>
      <c r="AA258" s="1147"/>
      <c r="AB258" s="1147"/>
    </row>
    <row r="259" spans="1:62" ht="13.5" thickBot="1" x14ac:dyDescent="0.35">
      <c r="A259" s="100"/>
      <c r="B259" s="527"/>
      <c r="C259" s="356"/>
      <c r="D259" s="356"/>
      <c r="E259" s="356"/>
      <c r="F259" s="356"/>
      <c r="G259" s="356"/>
      <c r="H259" s="356"/>
      <c r="I259" s="356"/>
      <c r="J259" s="356"/>
      <c r="K259" s="569"/>
      <c r="L259" s="570" t="s">
        <v>48</v>
      </c>
      <c r="M259" s="571" t="s">
        <v>49</v>
      </c>
      <c r="N259" s="570" t="s">
        <v>50</v>
      </c>
      <c r="O259" s="570" t="s">
        <v>48</v>
      </c>
      <c r="P259" s="571" t="s">
        <v>49</v>
      </c>
      <c r="Q259" s="570" t="s">
        <v>50</v>
      </c>
      <c r="R259" s="134" t="s">
        <v>51</v>
      </c>
      <c r="S259" s="134" t="s">
        <v>52</v>
      </c>
      <c r="T259" s="570" t="s">
        <v>48</v>
      </c>
      <c r="U259" s="571" t="s">
        <v>49</v>
      </c>
      <c r="V259" s="991" t="s">
        <v>48</v>
      </c>
      <c r="W259" s="931" t="s">
        <v>49</v>
      </c>
      <c r="X259" s="934" t="s">
        <v>50</v>
      </c>
      <c r="Y259" s="572"/>
      <c r="Z259" s="568"/>
      <c r="AA259" s="1147"/>
      <c r="AB259" s="573"/>
      <c r="AD259" s="36"/>
      <c r="AK259" s="35"/>
      <c r="AL259" s="847"/>
      <c r="AM259" s="32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</row>
    <row r="260" spans="1:62" ht="13" x14ac:dyDescent="0.3">
      <c r="A260" s="59"/>
      <c r="B260" s="121" t="s">
        <v>307</v>
      </c>
      <c r="C260" s="36"/>
      <c r="D260" s="36"/>
      <c r="E260" s="36"/>
      <c r="F260" s="36"/>
      <c r="G260" s="158"/>
      <c r="H260" s="158"/>
      <c r="I260" s="158"/>
      <c r="J260" s="158"/>
      <c r="K260" s="574"/>
      <c r="L260" s="403">
        <f>M260+N260</f>
        <v>210613.2</v>
      </c>
      <c r="M260" s="403">
        <v>63906.6</v>
      </c>
      <c r="N260" s="403">
        <v>146706.6</v>
      </c>
      <c r="O260" s="511">
        <f t="shared" ref="O260:O270" si="27">P260+Q260</f>
        <v>175511</v>
      </c>
      <c r="P260" s="403">
        <v>53255.5</v>
      </c>
      <c r="Q260" s="403">
        <v>122255.5</v>
      </c>
      <c r="R260" s="575">
        <f>O260/10/30586</f>
        <v>0.57382789511541221</v>
      </c>
      <c r="S260" s="511">
        <v>0</v>
      </c>
      <c r="T260" s="511" t="e">
        <f>U260+#REF!</f>
        <v>#REF!</v>
      </c>
      <c r="U260" s="403">
        <v>63906.6</v>
      </c>
      <c r="V260" s="224">
        <f>W260+X260</f>
        <v>0</v>
      </c>
      <c r="W260" s="422">
        <v>0</v>
      </c>
      <c r="X260" s="434">
        <f>X261</f>
        <v>0</v>
      </c>
      <c r="Y260" s="310"/>
      <c r="Z260" s="1148"/>
      <c r="AA260" s="1086"/>
      <c r="AB260" s="1086"/>
      <c r="AC260" s="35"/>
      <c r="AD260" s="32"/>
      <c r="AE260" s="35"/>
      <c r="AF260" s="35"/>
      <c r="AG260" s="35"/>
      <c r="AH260" s="35"/>
      <c r="AI260" s="35"/>
      <c r="AJ260" s="35"/>
      <c r="AK260" s="35"/>
      <c r="AL260" s="847"/>
      <c r="AM260" s="32"/>
      <c r="AN260" s="84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</row>
    <row r="261" spans="1:62" ht="13" x14ac:dyDescent="0.3">
      <c r="A261" s="384"/>
      <c r="B261" s="982" t="s">
        <v>181</v>
      </c>
      <c r="C261" s="36"/>
      <c r="D261" s="36"/>
      <c r="E261" s="576"/>
      <c r="F261" s="36"/>
      <c r="G261" s="14"/>
      <c r="H261" s="885"/>
      <c r="I261" s="885"/>
      <c r="J261" s="885"/>
      <c r="K261" s="885"/>
      <c r="L261" s="403"/>
      <c r="M261" s="403">
        <v>0</v>
      </c>
      <c r="N261" s="403"/>
      <c r="O261" s="511">
        <f t="shared" si="27"/>
        <v>0</v>
      </c>
      <c r="P261" s="403"/>
      <c r="Q261" s="403"/>
      <c r="R261" s="575" t="e">
        <f>S261+T261</f>
        <v>#REF!</v>
      </c>
      <c r="S261" s="511" t="e">
        <f t="shared" ref="S261:S267" si="28">T261+U261</f>
        <v>#REF!</v>
      </c>
      <c r="T261" s="511" t="e">
        <f>U261+#REF!</f>
        <v>#REF!</v>
      </c>
      <c r="U261" s="403"/>
      <c r="V261" s="265">
        <f>W261+X261</f>
        <v>0</v>
      </c>
      <c r="W261" s="989">
        <v>0</v>
      </c>
      <c r="X261" s="989">
        <v>0</v>
      </c>
      <c r="Y261" s="310"/>
      <c r="Z261" s="577"/>
      <c r="AA261" s="35"/>
      <c r="AB261" s="35"/>
      <c r="AC261" s="35"/>
      <c r="AD261" s="32"/>
      <c r="AE261" s="35"/>
      <c r="AF261" s="35"/>
      <c r="AG261" s="35"/>
      <c r="AH261" s="35"/>
      <c r="AI261" s="35"/>
      <c r="AJ261" s="35"/>
      <c r="AK261" s="35"/>
      <c r="AL261" s="847"/>
      <c r="AM261" s="32"/>
      <c r="AN261" s="84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</row>
    <row r="262" spans="1:62" ht="24" customHeight="1" x14ac:dyDescent="0.35">
      <c r="A262" s="374"/>
      <c r="B262" s="1812" t="s">
        <v>182</v>
      </c>
      <c r="C262" s="1813"/>
      <c r="D262" s="1813"/>
      <c r="E262" s="1813"/>
      <c r="F262" s="1813"/>
      <c r="G262" s="1814"/>
      <c r="H262" s="1815" t="s">
        <v>183</v>
      </c>
      <c r="I262" s="1816"/>
      <c r="J262" s="1816"/>
      <c r="K262" s="1817"/>
      <c r="L262" s="403">
        <f t="shared" ref="L262:L269" si="29">M262+N262</f>
        <v>156120</v>
      </c>
      <c r="M262" s="165">
        <v>48060</v>
      </c>
      <c r="N262" s="165">
        <v>108060</v>
      </c>
      <c r="O262" s="511">
        <f t="shared" si="27"/>
        <v>145100</v>
      </c>
      <c r="P262" s="165">
        <f>40050+15000</f>
        <v>55050</v>
      </c>
      <c r="Q262" s="165">
        <v>90050</v>
      </c>
      <c r="R262" s="575">
        <f>O262/10/30586</f>
        <v>0.47440005231151505</v>
      </c>
      <c r="S262" s="511">
        <v>0</v>
      </c>
      <c r="T262" s="441" t="e">
        <f>U262+#REF!</f>
        <v>#REF!</v>
      </c>
      <c r="U262" s="441">
        <v>60660</v>
      </c>
      <c r="V262" s="235" t="s">
        <v>184</v>
      </c>
      <c r="W262" s="235">
        <v>0</v>
      </c>
      <c r="X262" s="235">
        <v>0</v>
      </c>
      <c r="Y262" s="1007"/>
      <c r="Z262" s="579"/>
      <c r="AA262" s="35"/>
      <c r="AB262" s="35"/>
      <c r="AC262" s="35"/>
      <c r="AD262" s="32"/>
      <c r="AE262" s="35"/>
      <c r="AF262" s="35"/>
      <c r="AG262" s="35"/>
      <c r="AH262" s="35"/>
      <c r="AI262" s="35"/>
      <c r="AJ262" s="35"/>
      <c r="AK262" s="35"/>
      <c r="AL262" s="847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</row>
    <row r="263" spans="1:62" ht="13" x14ac:dyDescent="0.3">
      <c r="A263" s="374"/>
      <c r="B263" s="121" t="s">
        <v>185</v>
      </c>
      <c r="C263" s="132"/>
      <c r="D263" s="132"/>
      <c r="E263" s="132"/>
      <c r="F263" s="132"/>
      <c r="G263" s="189"/>
      <c r="H263" s="189"/>
      <c r="I263" s="189"/>
      <c r="J263" s="189"/>
      <c r="L263" s="403">
        <f t="shared" si="29"/>
        <v>264268</v>
      </c>
      <c r="M263" s="165">
        <v>132134</v>
      </c>
      <c r="N263" s="165">
        <v>132134</v>
      </c>
      <c r="O263" s="441">
        <f t="shared" si="27"/>
        <v>251966</v>
      </c>
      <c r="P263" s="441">
        <v>125983</v>
      </c>
      <c r="Q263" s="441">
        <v>125983</v>
      </c>
      <c r="R263" s="575">
        <f>O263/10/30586</f>
        <v>0.82379520041849208</v>
      </c>
      <c r="S263" s="511">
        <v>0</v>
      </c>
      <c r="T263" s="441" t="e">
        <f>U263+#REF!</f>
        <v>#REF!</v>
      </c>
      <c r="U263" s="441">
        <v>132134</v>
      </c>
      <c r="V263" s="265">
        <v>0</v>
      </c>
      <c r="W263" s="265">
        <v>30000</v>
      </c>
      <c r="X263" s="265">
        <v>0</v>
      </c>
      <c r="Y263" s="1008"/>
      <c r="Z263" s="1151"/>
      <c r="AA263" s="1152"/>
      <c r="AB263" s="1152"/>
      <c r="AC263" s="1152"/>
      <c r="AD263" s="1152"/>
      <c r="AE263" s="1152"/>
      <c r="AF263" s="1152"/>
      <c r="AG263" s="1152"/>
      <c r="AH263" s="1152"/>
      <c r="AI263" s="1152"/>
      <c r="AJ263" s="1152"/>
      <c r="AK263" s="580"/>
      <c r="AL263" s="35"/>
      <c r="AM263" s="32"/>
      <c r="AN263" s="35"/>
      <c r="AO263" s="35"/>
      <c r="AP263" s="35"/>
      <c r="AQ263" s="35"/>
      <c r="AR263" s="35"/>
      <c r="AS263" s="321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</row>
    <row r="264" spans="1:62" ht="13" x14ac:dyDescent="0.3">
      <c r="A264" s="374"/>
      <c r="B264" s="581" t="s">
        <v>186</v>
      </c>
      <c r="C264" s="132"/>
      <c r="D264" s="132"/>
      <c r="E264" s="132"/>
      <c r="F264" s="132"/>
      <c r="H264" s="189"/>
      <c r="J264" s="986" t="s">
        <v>187</v>
      </c>
      <c r="K264" s="582" t="s">
        <v>187</v>
      </c>
      <c r="L264" s="583">
        <f t="shared" si="29"/>
        <v>9363.6</v>
      </c>
      <c r="M264" s="584">
        <v>9363.6</v>
      </c>
      <c r="N264" s="584">
        <v>0</v>
      </c>
      <c r="O264" s="585">
        <f t="shared" si="27"/>
        <v>0</v>
      </c>
      <c r="P264" s="584"/>
      <c r="Q264" s="584"/>
      <c r="R264" s="586">
        <f>O264/12/30586</f>
        <v>0</v>
      </c>
      <c r="S264" s="585" t="e">
        <f t="shared" si="28"/>
        <v>#REF!</v>
      </c>
      <c r="T264" s="587" t="e">
        <f>U264+#REF!</f>
        <v>#REF!</v>
      </c>
      <c r="U264" s="587"/>
      <c r="V264" s="235">
        <f>W264+X264</f>
        <v>243646</v>
      </c>
      <c r="W264" s="235">
        <v>121823</v>
      </c>
      <c r="X264" s="235">
        <v>121823</v>
      </c>
      <c r="Y264" s="1009"/>
      <c r="Z264" s="1152"/>
      <c r="AA264" s="1152"/>
      <c r="AB264" s="1152"/>
      <c r="AC264" s="1152"/>
      <c r="AD264" s="1152"/>
      <c r="AE264" s="1152"/>
      <c r="AF264" s="1152"/>
      <c r="AG264" s="1152"/>
      <c r="AH264" s="1152"/>
      <c r="AI264" s="1152"/>
      <c r="AJ264" s="1152"/>
      <c r="AK264" s="35"/>
      <c r="AL264" s="35"/>
      <c r="AM264" s="32"/>
      <c r="AN264" s="35"/>
      <c r="AO264" s="35"/>
      <c r="AP264" s="35"/>
      <c r="AQ264" s="35"/>
      <c r="AR264" s="35"/>
      <c r="AS264" s="35"/>
      <c r="AT264" s="859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</row>
    <row r="265" spans="1:62" ht="14.5" thickBot="1" x14ac:dyDescent="0.35">
      <c r="A265" s="374"/>
      <c r="B265" s="65" t="s">
        <v>188</v>
      </c>
      <c r="C265" s="33"/>
      <c r="D265" s="33"/>
      <c r="E265" s="33"/>
      <c r="F265" s="33"/>
      <c r="G265" s="33"/>
      <c r="H265" s="148"/>
      <c r="I265" s="321"/>
      <c r="J265" s="321"/>
      <c r="K265" s="589"/>
      <c r="L265" s="403">
        <f t="shared" si="29"/>
        <v>9828</v>
      </c>
      <c r="M265" s="165">
        <v>9828</v>
      </c>
      <c r="N265" s="165"/>
      <c r="O265" s="511">
        <f t="shared" si="27"/>
        <v>0</v>
      </c>
      <c r="P265" s="165"/>
      <c r="Q265" s="165"/>
      <c r="R265" s="575">
        <f>O265/12/30586</f>
        <v>0</v>
      </c>
      <c r="S265" s="511" t="e">
        <f t="shared" si="28"/>
        <v>#REF!</v>
      </c>
      <c r="T265" s="389" t="e">
        <f>U265+#REF!</f>
        <v>#REF!</v>
      </c>
      <c r="U265" s="323"/>
      <c r="V265" s="1676">
        <f t="shared" ref="V265" si="30">W265+X265</f>
        <v>0</v>
      </c>
      <c r="W265" s="1676">
        <v>0</v>
      </c>
      <c r="X265" s="1676">
        <v>0</v>
      </c>
      <c r="Y265" s="1009"/>
      <c r="Z265" s="579"/>
      <c r="AA265" s="35"/>
      <c r="AB265" s="35"/>
      <c r="AC265" s="35"/>
      <c r="AD265" s="32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859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</row>
    <row r="266" spans="1:62" ht="14.5" thickBot="1" x14ac:dyDescent="0.35">
      <c r="A266" s="374"/>
      <c r="B266" s="364" t="s">
        <v>598</v>
      </c>
      <c r="C266" s="1538"/>
      <c r="D266" s="1538"/>
      <c r="E266" s="880"/>
      <c r="F266" s="1862" t="s">
        <v>636</v>
      </c>
      <c r="G266" s="1863"/>
      <c r="H266" s="1863"/>
      <c r="I266" s="1863"/>
      <c r="J266" s="1864"/>
      <c r="K266" s="1779"/>
      <c r="L266" s="403"/>
      <c r="M266" s="165"/>
      <c r="N266" s="165"/>
      <c r="O266" s="511"/>
      <c r="P266" s="165"/>
      <c r="Q266" s="165"/>
      <c r="R266" s="575"/>
      <c r="S266" s="511"/>
      <c r="T266" s="389"/>
      <c r="U266" s="323"/>
      <c r="V266" s="1676">
        <f>W266+W266</f>
        <v>66000</v>
      </c>
      <c r="W266" s="1676">
        <v>33000</v>
      </c>
      <c r="X266" s="1676">
        <v>26000</v>
      </c>
      <c r="Y266" s="1009"/>
      <c r="Z266" s="1821"/>
      <c r="AA266" s="1821"/>
      <c r="AB266" s="1821"/>
      <c r="AC266" s="1821"/>
      <c r="AD266" s="1821"/>
      <c r="AE266" s="35"/>
      <c r="AF266" s="35"/>
      <c r="AG266" s="35"/>
      <c r="AH266" s="35"/>
      <c r="AI266" s="35"/>
      <c r="AJ266" s="35"/>
      <c r="AK266" s="1025"/>
      <c r="AL266" s="35"/>
      <c r="AM266" s="32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</row>
    <row r="267" spans="1:62" ht="16" thickBot="1" x14ac:dyDescent="0.4">
      <c r="A267" s="374"/>
      <c r="B267" s="1572" t="s">
        <v>597</v>
      </c>
      <c r="C267" s="848"/>
      <c r="D267" s="848"/>
      <c r="E267" s="594"/>
      <c r="F267" s="1863" t="s">
        <v>596</v>
      </c>
      <c r="G267" s="1863"/>
      <c r="H267" s="1863"/>
      <c r="I267" s="1863"/>
      <c r="J267" s="1863"/>
      <c r="K267" s="1864"/>
      <c r="L267" s="403">
        <f t="shared" si="29"/>
        <v>103080</v>
      </c>
      <c r="M267" s="165">
        <v>51540</v>
      </c>
      <c r="N267" s="165">
        <v>51540</v>
      </c>
      <c r="O267" s="511">
        <f t="shared" si="27"/>
        <v>0</v>
      </c>
      <c r="P267" s="165"/>
      <c r="Q267" s="165"/>
      <c r="R267" s="575">
        <f>O267/12/30586</f>
        <v>0</v>
      </c>
      <c r="S267" s="511" t="e">
        <f t="shared" si="28"/>
        <v>#REF!</v>
      </c>
      <c r="T267" s="389" t="e">
        <f>U267+#REF!</f>
        <v>#REF!</v>
      </c>
      <c r="U267" s="389"/>
      <c r="V267" s="1676">
        <f t="shared" ref="V267" si="31">W267+X267</f>
        <v>0</v>
      </c>
      <c r="W267" s="1676">
        <v>0</v>
      </c>
      <c r="X267" s="1676">
        <v>0</v>
      </c>
      <c r="Y267" s="1007"/>
      <c r="Z267" s="579"/>
      <c r="AA267" s="35"/>
      <c r="AB267" s="35"/>
      <c r="AC267" s="35"/>
      <c r="AD267" s="32"/>
      <c r="AE267" s="35"/>
      <c r="AF267" s="35"/>
      <c r="AG267" s="35"/>
      <c r="AH267" s="35"/>
      <c r="AI267" s="35"/>
      <c r="AJ267" s="35"/>
      <c r="AK267" s="35"/>
      <c r="AL267" s="35"/>
      <c r="AM267" s="32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</row>
    <row r="268" spans="1:62" ht="13" x14ac:dyDescent="0.3">
      <c r="A268" s="384"/>
      <c r="B268" s="883" t="s">
        <v>191</v>
      </c>
      <c r="C268" s="847"/>
      <c r="D268" s="847"/>
      <c r="E268" s="847"/>
      <c r="F268" s="847"/>
      <c r="G268" s="847"/>
      <c r="H268" s="847"/>
      <c r="I268" s="847"/>
      <c r="J268" s="266" t="s">
        <v>192</v>
      </c>
      <c r="K268" s="266" t="s">
        <v>192</v>
      </c>
      <c r="L268" s="1578">
        <f t="shared" si="29"/>
        <v>110031.56</v>
      </c>
      <c r="M268" s="578">
        <v>55015.78</v>
      </c>
      <c r="N268" s="578">
        <v>55015.78</v>
      </c>
      <c r="O268" s="578">
        <f t="shared" si="27"/>
        <v>101687.65</v>
      </c>
      <c r="P268" s="578">
        <v>50843.83</v>
      </c>
      <c r="Q268" s="578">
        <v>50843.82</v>
      </c>
      <c r="R268" s="1579">
        <f>O268/10/30586</f>
        <v>0.33246468972732623</v>
      </c>
      <c r="S268" s="578">
        <v>0</v>
      </c>
      <c r="T268" s="578" t="e">
        <f>U268+#REF!</f>
        <v>#REF!</v>
      </c>
      <c r="U268" s="578">
        <v>60487.13</v>
      </c>
      <c r="V268" s="235">
        <f>W268+X268</f>
        <v>149829.29999999999</v>
      </c>
      <c r="W268" s="235">
        <v>74914.649999999994</v>
      </c>
      <c r="X268" s="235">
        <v>74914.649999999994</v>
      </c>
      <c r="Y268" s="167"/>
      <c r="Z268" s="1825"/>
      <c r="AA268" s="1826"/>
      <c r="AB268" s="1074"/>
      <c r="AC268" s="1074"/>
      <c r="AD268" s="1074"/>
      <c r="AE268" s="1074"/>
      <c r="AF268" s="1074"/>
      <c r="AG268" s="1074"/>
      <c r="AH268" s="1069"/>
      <c r="AI268" s="35"/>
      <c r="AJ268" s="35"/>
      <c r="AK268" s="35"/>
      <c r="AL268" s="35"/>
      <c r="AM268" s="32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</row>
    <row r="269" spans="1:62" ht="13.5" thickBot="1" x14ac:dyDescent="0.35">
      <c r="A269" s="444"/>
      <c r="B269" s="1572" t="s">
        <v>193</v>
      </c>
      <c r="C269" s="848"/>
      <c r="D269" s="848"/>
      <c r="E269" s="848"/>
      <c r="F269" s="848"/>
      <c r="G269" s="848"/>
      <c r="H269" s="848"/>
      <c r="I269" s="848" t="s">
        <v>194</v>
      </c>
      <c r="J269" s="848"/>
      <c r="K269" s="594"/>
      <c r="L269" s="1580">
        <f t="shared" si="29"/>
        <v>107058</v>
      </c>
      <c r="M269" s="1581">
        <v>53529</v>
      </c>
      <c r="N269" s="1581">
        <v>53529</v>
      </c>
      <c r="O269" s="386">
        <f t="shared" si="27"/>
        <v>108984.87</v>
      </c>
      <c r="P269" s="1581">
        <v>54492.43</v>
      </c>
      <c r="Q269" s="1581">
        <v>54492.44</v>
      </c>
      <c r="R269" s="388">
        <f>O269/10/30586</f>
        <v>0.35632272935329889</v>
      </c>
      <c r="S269" s="386">
        <v>0</v>
      </c>
      <c r="T269" s="386" t="e">
        <f>U269+#REF!</f>
        <v>#REF!</v>
      </c>
      <c r="U269" s="1581">
        <v>65550.83</v>
      </c>
      <c r="V269" s="235">
        <f>W269+X269</f>
        <v>162947.12</v>
      </c>
      <c r="W269" s="1674">
        <v>81473.56</v>
      </c>
      <c r="X269" s="1674">
        <v>81473.56</v>
      </c>
      <c r="Y269" s="1010"/>
      <c r="Z269" s="1825"/>
      <c r="AA269" s="1826"/>
      <c r="AB269" s="1808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2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</row>
    <row r="270" spans="1:62" ht="14.5" thickBot="1" x14ac:dyDescent="0.35">
      <c r="A270" s="595"/>
      <c r="B270" s="895" t="s">
        <v>285</v>
      </c>
      <c r="C270" s="596"/>
      <c r="D270" s="596"/>
      <c r="E270" s="596"/>
      <c r="F270" s="596"/>
      <c r="G270" s="597"/>
      <c r="H270" s="597"/>
      <c r="I270" s="597"/>
      <c r="J270" s="597"/>
      <c r="K270" s="594"/>
      <c r="L270" s="598">
        <f>SUM(L260:L269)</f>
        <v>970362.35999999987</v>
      </c>
      <c r="M270" s="598">
        <f>SUM(M260:M269)</f>
        <v>423376.98</v>
      </c>
      <c r="N270" s="598">
        <f>SUM(N260:N269)</f>
        <v>546985.38</v>
      </c>
      <c r="O270" s="599">
        <f t="shared" si="27"/>
        <v>783249.52</v>
      </c>
      <c r="P270" s="599">
        <f>P260+P263+P262+P264+P265+P267+P268+P269</f>
        <v>339624.76</v>
      </c>
      <c r="Q270" s="599">
        <f>SUM(Q260:Q269)</f>
        <v>443624.76</v>
      </c>
      <c r="R270" s="598" t="e">
        <f>SUM(R260:R269)</f>
        <v>#REF!</v>
      </c>
      <c r="S270" s="598">
        <v>0</v>
      </c>
      <c r="T270" s="600" t="e">
        <f>U270+#REF!</f>
        <v>#REF!</v>
      </c>
      <c r="U270" s="600">
        <f>U260+U263+U262+U264+U265+U267+U268+U269</f>
        <v>382738.56</v>
      </c>
      <c r="V270" s="994">
        <f>W270+X270</f>
        <v>645422.41999999993</v>
      </c>
      <c r="W270" s="951">
        <f>W262+W263+W268+W269+W267+W266+W260+W264</f>
        <v>341211.20999999996</v>
      </c>
      <c r="X270" s="949">
        <f>X260+X262+X263+X264+X265+X266+X268+X269</f>
        <v>304211.20999999996</v>
      </c>
      <c r="Y270" s="1011"/>
      <c r="Z270" s="602"/>
      <c r="AA270" s="35"/>
      <c r="AB270" s="35"/>
      <c r="AC270" s="35"/>
      <c r="AD270" s="32"/>
      <c r="AE270" s="35"/>
      <c r="AF270" s="35"/>
      <c r="AG270" s="35"/>
      <c r="AH270" s="35"/>
      <c r="AI270" s="35"/>
      <c r="AJ270" s="35"/>
      <c r="AK270" s="35"/>
      <c r="AL270" s="35"/>
      <c r="AM270" s="32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</row>
    <row r="271" spans="1:62" ht="13.5" customHeight="1" thickBot="1" x14ac:dyDescent="0.4">
      <c r="B271" s="945"/>
      <c r="C271" s="857"/>
      <c r="D271" s="857"/>
      <c r="E271" s="857"/>
      <c r="F271" s="857"/>
      <c r="G271" s="857"/>
      <c r="H271" s="857"/>
      <c r="I271" s="946"/>
      <c r="J271" s="1586"/>
      <c r="K271" s="1774" t="s">
        <v>195</v>
      </c>
      <c r="L271" s="605">
        <f t="shared" ref="L271:Q271" si="32">L257-L270</f>
        <v>-101532.35999999987</v>
      </c>
      <c r="M271" s="606">
        <f t="shared" si="32"/>
        <v>11855.020000000019</v>
      </c>
      <c r="N271" s="607">
        <f t="shared" si="32"/>
        <v>-113487.38</v>
      </c>
      <c r="O271" s="608">
        <f t="shared" si="32"/>
        <v>-74443.819999999949</v>
      </c>
      <c r="P271" s="606">
        <f t="shared" si="32"/>
        <v>23314.760000000009</v>
      </c>
      <c r="Q271" s="607">
        <f t="shared" si="32"/>
        <v>-97758.579999999958</v>
      </c>
      <c r="R271" s="606"/>
      <c r="S271" s="606">
        <f t="shared" ref="S271:U271" si="33">S257-S270</f>
        <v>0</v>
      </c>
      <c r="T271" s="606" t="e">
        <f t="shared" si="33"/>
        <v>#REF!</v>
      </c>
      <c r="U271" s="606">
        <f t="shared" si="33"/>
        <v>51756.200000000012</v>
      </c>
      <c r="V271" s="1769">
        <f>W271+X271</f>
        <v>81.580000000074506</v>
      </c>
      <c r="W271" s="1770">
        <f>W257-W270</f>
        <v>1452.7900000000373</v>
      </c>
      <c r="X271" s="1771">
        <f>X257-X270</f>
        <v>-1371.2099999999627</v>
      </c>
      <c r="Y271" s="610"/>
      <c r="Z271" s="611"/>
      <c r="AA271" s="838"/>
      <c r="AB271" s="877"/>
      <c r="AC271" s="838"/>
      <c r="AD271" s="29"/>
      <c r="AE271" s="612"/>
      <c r="AF271" s="838"/>
      <c r="AG271" s="838"/>
      <c r="AH271" s="838"/>
      <c r="AI271" s="838"/>
      <c r="AJ271" s="838"/>
      <c r="AK271" s="35"/>
      <c r="AL271" s="35"/>
      <c r="AM271" s="32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</row>
    <row r="272" spans="1:62" ht="24" customHeight="1" thickBot="1" x14ac:dyDescent="0.4">
      <c r="B272" s="954" t="s">
        <v>286</v>
      </c>
      <c r="C272" s="613"/>
      <c r="D272" s="613"/>
      <c r="E272" s="613"/>
      <c r="F272" s="613"/>
      <c r="G272" s="613"/>
      <c r="H272" s="613"/>
      <c r="I272" s="613"/>
      <c r="J272" s="1775"/>
      <c r="K272" s="1776"/>
      <c r="L272" s="1777">
        <f>M272+N272</f>
        <v>1090362.3599999999</v>
      </c>
      <c r="M272" s="1778">
        <f>M233+M270</f>
        <v>423376.98</v>
      </c>
      <c r="N272" s="1778">
        <f>N233+N270</f>
        <v>666985.38</v>
      </c>
      <c r="O272" s="611"/>
      <c r="P272" s="611"/>
      <c r="Q272" s="611"/>
      <c r="R272" s="882"/>
      <c r="S272" s="882"/>
      <c r="T272" s="882"/>
      <c r="U272" s="882"/>
      <c r="V272" s="1772">
        <f>W272+X272</f>
        <v>403.67999999970198</v>
      </c>
      <c r="W272" s="1773">
        <f>W271+W239</f>
        <v>31.984999999403954</v>
      </c>
      <c r="X272" s="1773">
        <f>X271+X239</f>
        <v>371.69500000029802</v>
      </c>
      <c r="Y272" s="618"/>
      <c r="Z272" s="863"/>
      <c r="AA272" s="838"/>
      <c r="AB272" s="860"/>
      <c r="AC272" s="838"/>
      <c r="AD272" s="29"/>
      <c r="AE272" s="838"/>
      <c r="AF272" s="838"/>
      <c r="AG272" s="838"/>
      <c r="AH272" s="838"/>
      <c r="AI272" s="838"/>
      <c r="AJ272" s="838"/>
      <c r="AK272" s="35"/>
      <c r="AL272" s="35"/>
      <c r="AM272" s="32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</row>
    <row r="273" spans="1:62" ht="13.5" customHeight="1" x14ac:dyDescent="0.3">
      <c r="B273" s="132"/>
      <c r="C273" s="132"/>
      <c r="D273" s="132"/>
      <c r="E273" s="132"/>
      <c r="F273" s="132"/>
      <c r="G273" s="563"/>
      <c r="H273" s="564"/>
      <c r="I273" s="564"/>
      <c r="J273" s="565"/>
      <c r="K273" s="1577"/>
      <c r="L273" s="1574"/>
      <c r="M273" s="1574"/>
      <c r="N273" s="1574"/>
      <c r="O273" s="1574"/>
      <c r="P273" s="1574"/>
      <c r="Q273" s="1574"/>
      <c r="R273" s="1575"/>
      <c r="S273" s="1575"/>
      <c r="T273" s="1575"/>
      <c r="U273" s="1575"/>
      <c r="V273" s="1677"/>
      <c r="W273" s="1678"/>
      <c r="X273" s="1678"/>
      <c r="AK273" s="35"/>
      <c r="AL273" s="35"/>
      <c r="AM273" s="32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</row>
    <row r="274" spans="1:62" ht="13.5" customHeight="1" thickBot="1" x14ac:dyDescent="0.4">
      <c r="B274" s="209"/>
      <c r="C274" s="209"/>
      <c r="D274" s="209"/>
      <c r="E274" s="209"/>
      <c r="F274" s="209"/>
      <c r="G274" s="1780" t="s">
        <v>637</v>
      </c>
      <c r="H274" s="1781"/>
      <c r="I274" s="1781"/>
      <c r="J274" s="1782"/>
      <c r="K274" s="321"/>
      <c r="L274" s="1576">
        <f>M274+N274</f>
        <v>-105561.16000000073</v>
      </c>
      <c r="M274" s="1576">
        <f>M239+M271</f>
        <v>-66025.880000000354</v>
      </c>
      <c r="N274" s="1576">
        <f>N239+N271</f>
        <v>-39535.280000000377</v>
      </c>
      <c r="O274" s="1576"/>
      <c r="P274" s="1576"/>
      <c r="Q274" s="1576"/>
      <c r="R274" s="1089"/>
      <c r="S274" s="1089"/>
      <c r="T274" s="1089"/>
      <c r="U274" s="1089"/>
      <c r="V274" s="1679">
        <f>W274+X274</f>
        <v>403.67999999970198</v>
      </c>
      <c r="W274" s="1679">
        <f>W272+W80</f>
        <v>31.984999999403954</v>
      </c>
      <c r="X274" s="1679">
        <f>X272+X80</f>
        <v>371.69500000029802</v>
      </c>
      <c r="Y274" s="549"/>
      <c r="AK274" s="847"/>
      <c r="AL274" s="35"/>
      <c r="AM274" s="32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</row>
    <row r="275" spans="1:62" ht="13.5" customHeight="1" x14ac:dyDescent="0.4">
      <c r="B275" s="625"/>
      <c r="C275" s="625"/>
      <c r="D275" s="625"/>
      <c r="E275" s="625"/>
      <c r="F275" s="625"/>
      <c r="G275" s="626"/>
      <c r="H275" s="627"/>
      <c r="I275" s="209"/>
      <c r="J275" s="628"/>
      <c r="K275" s="623"/>
      <c r="L275" s="624"/>
      <c r="M275" s="624"/>
      <c r="N275" s="624"/>
      <c r="O275" s="624"/>
      <c r="P275" s="624"/>
      <c r="Q275" s="624"/>
      <c r="R275" s="12"/>
      <c r="S275" s="12"/>
      <c r="T275" s="12"/>
      <c r="U275" s="12"/>
      <c r="V275" s="12"/>
      <c r="W275" s="549"/>
      <c r="X275" s="549"/>
      <c r="Y275" s="549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</row>
    <row r="276" spans="1:62" ht="12.75" customHeight="1" x14ac:dyDescent="0.3">
      <c r="B276" s="628"/>
      <c r="C276" s="628"/>
      <c r="D276" s="628"/>
      <c r="E276" s="628"/>
      <c r="F276" s="628"/>
      <c r="G276" s="628"/>
      <c r="H276" s="628"/>
      <c r="I276" s="628"/>
      <c r="J276" s="628"/>
      <c r="K276" s="628"/>
      <c r="L276" s="629"/>
      <c r="M276" s="630"/>
      <c r="N276" s="631"/>
      <c r="O276" s="12"/>
      <c r="P276" s="12"/>
      <c r="Q276" s="12"/>
      <c r="R276" s="12"/>
      <c r="S276" s="12"/>
      <c r="T276" s="12"/>
      <c r="U276" s="12"/>
      <c r="V276" s="12"/>
      <c r="W276" s="12"/>
      <c r="AK276" s="35"/>
      <c r="AL276" s="35"/>
      <c r="AM276" s="32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</row>
    <row r="277" spans="1:62" ht="15.5" x14ac:dyDescent="0.35">
      <c r="A277" s="837" t="s">
        <v>14</v>
      </c>
      <c r="B277" s="20" t="s">
        <v>306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632"/>
      <c r="M277" s="632"/>
      <c r="N277" s="632"/>
      <c r="O277" s="11"/>
      <c r="P277" s="11"/>
      <c r="Q277" s="11"/>
      <c r="R277" s="11"/>
      <c r="S277" s="11"/>
      <c r="T277" s="11"/>
      <c r="U277" s="11"/>
      <c r="V277" s="11"/>
      <c r="W277" s="11"/>
      <c r="X277" s="10"/>
      <c r="AK277" s="1026"/>
      <c r="AL277" s="35"/>
      <c r="AM277" s="32"/>
      <c r="AN277" s="84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</row>
    <row r="278" spans="1:62" ht="13" x14ac:dyDescent="0.3">
      <c r="A278" s="837"/>
      <c r="B278" s="839"/>
      <c r="C278" s="863"/>
      <c r="D278" s="863"/>
      <c r="E278" s="863"/>
      <c r="F278" s="863"/>
      <c r="G278" s="863"/>
      <c r="H278" s="863"/>
      <c r="I278" s="863"/>
      <c r="J278" s="863"/>
      <c r="K278" s="863"/>
      <c r="L278" s="881"/>
      <c r="M278" s="881"/>
      <c r="N278" s="881"/>
      <c r="O278" s="863"/>
      <c r="P278" s="863"/>
      <c r="Q278" s="863"/>
      <c r="R278" s="863"/>
      <c r="S278" s="863"/>
      <c r="T278" s="863"/>
      <c r="U278" s="863"/>
      <c r="V278" s="863"/>
      <c r="W278" s="863"/>
      <c r="X278" s="838"/>
      <c r="AK278" s="1026"/>
      <c r="AL278" s="35"/>
      <c r="AM278" s="32"/>
      <c r="AN278" s="84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</row>
    <row r="279" spans="1:62" ht="13" x14ac:dyDescent="0.3">
      <c r="A279" s="835"/>
      <c r="B279" s="1301" t="s">
        <v>564</v>
      </c>
      <c r="C279" s="84"/>
      <c r="D279" s="84"/>
      <c r="E279" s="84"/>
      <c r="F279" s="84"/>
      <c r="G279" s="84"/>
      <c r="H279" s="84"/>
      <c r="I279" s="84"/>
      <c r="J279" s="1302"/>
      <c r="K279" s="633">
        <v>4819593.82</v>
      </c>
      <c r="L279" s="634"/>
      <c r="M279" s="634"/>
      <c r="N279" s="634"/>
      <c r="O279" s="14"/>
      <c r="P279" s="14"/>
      <c r="Q279" s="14"/>
      <c r="R279" s="14"/>
      <c r="S279" s="14"/>
      <c r="T279" s="14"/>
      <c r="U279" s="14"/>
      <c r="V279" s="14"/>
      <c r="W279" s="14"/>
      <c r="AK279" s="847"/>
      <c r="AL279" s="35"/>
      <c r="AM279" s="32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</row>
    <row r="280" spans="1:62" ht="13" x14ac:dyDescent="0.3">
      <c r="A280" s="837" t="s">
        <v>196</v>
      </c>
      <c r="B280" s="1302" t="s">
        <v>197</v>
      </c>
      <c r="C280" s="1302"/>
      <c r="D280" s="1386"/>
      <c r="E280" s="1386"/>
      <c r="F280" s="1302"/>
      <c r="G280" s="1351">
        <v>3555176.44</v>
      </c>
      <c r="H280" s="1302" t="s">
        <v>167</v>
      </c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1387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</row>
    <row r="281" spans="1:62" ht="13" x14ac:dyDescent="0.3">
      <c r="A281" s="23"/>
      <c r="B281" s="1302" t="s">
        <v>19</v>
      </c>
      <c r="C281" s="84"/>
      <c r="D281" s="84"/>
      <c r="E281" s="84"/>
      <c r="F281" s="84"/>
      <c r="G281" s="84"/>
      <c r="H281" s="84"/>
      <c r="I281" s="84"/>
      <c r="J281" s="84"/>
      <c r="K281" s="84"/>
      <c r="L281" s="1388"/>
      <c r="M281" s="78"/>
      <c r="N281" s="1389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552"/>
      <c r="Z281" s="637"/>
      <c r="AA281" s="552"/>
      <c r="AB281" s="39"/>
      <c r="AC281" s="12"/>
      <c r="AD281" s="12"/>
      <c r="AE281" s="12"/>
      <c r="AF281" s="12"/>
      <c r="AG281" s="12"/>
      <c r="AH281" s="12"/>
      <c r="AI281" s="12"/>
      <c r="AJ281" s="12"/>
      <c r="AK281" s="53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</row>
    <row r="282" spans="1:62" ht="18" x14ac:dyDescent="0.4">
      <c r="A282" s="23"/>
      <c r="B282" s="1390" t="s">
        <v>289</v>
      </c>
      <c r="C282" s="1390"/>
      <c r="D282" s="1390"/>
      <c r="E282" s="84"/>
      <c r="F282" s="84"/>
      <c r="G282" s="1301" t="s">
        <v>392</v>
      </c>
      <c r="H282" s="84"/>
      <c r="I282" s="84"/>
      <c r="J282" s="1300">
        <v>1722329.48</v>
      </c>
      <c r="K282" s="84" t="s">
        <v>167</v>
      </c>
      <c r="L282" s="1302" t="s">
        <v>198</v>
      </c>
      <c r="M282" s="77"/>
      <c r="N282" s="78"/>
      <c r="O282" s="1302" t="s">
        <v>37</v>
      </c>
      <c r="P282" s="77"/>
      <c r="Q282" s="84"/>
      <c r="R282" s="84"/>
      <c r="S282" s="84"/>
      <c r="T282" s="84"/>
      <c r="U282" s="84"/>
      <c r="V282" s="84"/>
      <c r="W282" s="1388"/>
      <c r="X282" s="84"/>
      <c r="Y282" s="552"/>
      <c r="AA282" s="638"/>
      <c r="AB282" s="39"/>
      <c r="AC282" s="12"/>
      <c r="AD282" s="552"/>
      <c r="AE282" s="12"/>
      <c r="AF282" s="12"/>
      <c r="AG282" s="12"/>
      <c r="AH282" s="12"/>
      <c r="AI282" s="12"/>
      <c r="AJ282" s="12"/>
      <c r="AK282" s="53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</row>
    <row r="283" spans="1:62" ht="13" x14ac:dyDescent="0.3">
      <c r="A283" s="23"/>
      <c r="B283" s="84" t="s">
        <v>290</v>
      </c>
      <c r="C283" s="84"/>
      <c r="D283" s="84"/>
      <c r="E283" s="1301"/>
      <c r="F283" s="84"/>
      <c r="G283" s="84"/>
      <c r="H283" s="84"/>
      <c r="I283" s="84"/>
      <c r="J283" s="1300">
        <v>3000</v>
      </c>
      <c r="K283" s="84" t="s">
        <v>167</v>
      </c>
      <c r="L283" s="1302"/>
      <c r="M283" s="77"/>
      <c r="N283" s="78"/>
      <c r="O283" s="1302"/>
      <c r="P283" s="77"/>
      <c r="Q283" s="84"/>
      <c r="R283" s="84"/>
      <c r="S283" s="84"/>
      <c r="T283" s="84"/>
      <c r="U283" s="84"/>
      <c r="V283" s="84"/>
      <c r="W283" s="84"/>
      <c r="X283" s="84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</row>
    <row r="284" spans="1:62" ht="13" x14ac:dyDescent="0.3">
      <c r="A284" s="23"/>
      <c r="B284" s="84" t="s">
        <v>554</v>
      </c>
      <c r="C284" s="84"/>
      <c r="D284" s="84"/>
      <c r="E284" s="1301"/>
      <c r="F284" s="84"/>
      <c r="G284" s="1300"/>
      <c r="H284" s="84"/>
      <c r="I284" s="84"/>
      <c r="J284" s="1300">
        <v>125000</v>
      </c>
      <c r="K284" s="84" t="s">
        <v>167</v>
      </c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</row>
    <row r="285" spans="1:62" ht="13" x14ac:dyDescent="0.3">
      <c r="A285" s="23"/>
      <c r="B285" s="84"/>
      <c r="C285" s="84"/>
      <c r="D285" s="84"/>
      <c r="E285" s="1301"/>
      <c r="F285" s="84"/>
      <c r="G285" s="1351" t="s">
        <v>199</v>
      </c>
      <c r="H285" s="84"/>
      <c r="I285" s="84"/>
      <c r="J285" s="1351">
        <f>J282+J283+J284</f>
        <v>1850329.48</v>
      </c>
      <c r="K285" s="84" t="s">
        <v>167</v>
      </c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</row>
    <row r="286" spans="1:62" ht="13" x14ac:dyDescent="0.3">
      <c r="A286" s="23"/>
      <c r="B286" s="1390" t="s">
        <v>200</v>
      </c>
      <c r="C286" s="1390"/>
      <c r="D286" s="1390"/>
      <c r="E286" s="84"/>
      <c r="F286" s="84"/>
      <c r="G286" s="1301" t="s">
        <v>393</v>
      </c>
      <c r="H286" s="84"/>
      <c r="I286" s="84"/>
      <c r="J286" s="1300">
        <v>1708814.02</v>
      </c>
      <c r="K286" s="84" t="s">
        <v>167</v>
      </c>
      <c r="L286" s="1302" t="s">
        <v>198</v>
      </c>
      <c r="M286" s="77"/>
      <c r="N286" s="78"/>
      <c r="O286" s="1302" t="s">
        <v>37</v>
      </c>
      <c r="P286" s="77"/>
      <c r="Q286" s="84"/>
      <c r="R286" s="84"/>
      <c r="S286" s="84"/>
      <c r="T286" s="84"/>
      <c r="U286" s="84"/>
      <c r="V286" s="84"/>
      <c r="W286" s="84"/>
      <c r="X286" s="84"/>
    </row>
    <row r="287" spans="1:62" ht="13" x14ac:dyDescent="0.3">
      <c r="A287" s="23"/>
      <c r="B287" s="84" t="s">
        <v>362</v>
      </c>
      <c r="C287" s="84"/>
      <c r="D287" s="84"/>
      <c r="E287" s="1301"/>
      <c r="F287" s="84"/>
      <c r="G287" s="84"/>
      <c r="H287" s="84"/>
      <c r="I287" s="84"/>
      <c r="J287" s="1300">
        <v>3000</v>
      </c>
      <c r="K287" s="84" t="s">
        <v>167</v>
      </c>
      <c r="L287" s="1302"/>
      <c r="M287" s="77"/>
      <c r="N287" s="78"/>
      <c r="O287" s="1302"/>
      <c r="P287" s="77"/>
      <c r="Q287" s="84"/>
      <c r="R287" s="84"/>
      <c r="S287" s="84"/>
      <c r="T287" s="84"/>
      <c r="U287" s="84"/>
      <c r="V287" s="84"/>
      <c r="W287" s="1389"/>
      <c r="X287" s="84"/>
    </row>
    <row r="288" spans="1:62" ht="13" x14ac:dyDescent="0.3">
      <c r="A288" s="23"/>
      <c r="B288" s="84" t="s">
        <v>555</v>
      </c>
      <c r="C288" s="84"/>
      <c r="D288" s="84"/>
      <c r="E288" s="1301"/>
      <c r="F288" s="84"/>
      <c r="G288" s="1300"/>
      <c r="H288" s="84"/>
      <c r="I288" s="84"/>
      <c r="J288" s="1300">
        <v>125000</v>
      </c>
      <c r="K288" s="84" t="s">
        <v>167</v>
      </c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</row>
    <row r="289" spans="1:27" ht="13" x14ac:dyDescent="0.3">
      <c r="A289" s="23"/>
      <c r="B289" s="84"/>
      <c r="C289" s="84"/>
      <c r="D289" s="84"/>
      <c r="E289" s="1301"/>
      <c r="F289" s="84"/>
      <c r="G289" s="1351" t="s">
        <v>201</v>
      </c>
      <c r="H289" s="84"/>
      <c r="I289" s="84"/>
      <c r="J289" s="1351">
        <f>J286+J287+J288</f>
        <v>1836814.02</v>
      </c>
      <c r="K289" s="84" t="s">
        <v>167</v>
      </c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</row>
    <row r="290" spans="1:27" ht="13" x14ac:dyDescent="0.3">
      <c r="A290" s="23"/>
      <c r="B290" s="84"/>
      <c r="C290" s="84"/>
      <c r="D290" s="84"/>
      <c r="E290" s="1301"/>
      <c r="F290" s="84"/>
      <c r="G290" s="1351"/>
      <c r="H290" s="84"/>
      <c r="I290" s="84"/>
      <c r="J290" s="1351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</row>
    <row r="291" spans="1:27" ht="13.5" thickBot="1" x14ac:dyDescent="0.35">
      <c r="A291" s="23"/>
      <c r="B291" s="84"/>
      <c r="C291" s="84"/>
      <c r="D291" s="84"/>
      <c r="E291" s="1301"/>
      <c r="F291" s="84"/>
      <c r="G291" s="1351"/>
      <c r="H291" s="84"/>
      <c r="I291" s="84"/>
      <c r="J291" s="1351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</row>
    <row r="292" spans="1:27" ht="13.5" thickBot="1" x14ac:dyDescent="0.35">
      <c r="B292" s="84"/>
      <c r="C292" s="84"/>
      <c r="D292" s="84"/>
      <c r="E292" s="1301"/>
      <c r="F292" s="84"/>
      <c r="G292" s="1300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1391" t="s">
        <v>396</v>
      </c>
      <c r="W292" s="1392">
        <v>6360746.79</v>
      </c>
      <c r="X292" s="1392">
        <v>6322635.8899999997</v>
      </c>
      <c r="Z292" s="549"/>
    </row>
    <row r="293" spans="1:27" ht="13.5" thickBot="1" x14ac:dyDescent="0.35">
      <c r="B293" s="84"/>
      <c r="C293" s="84"/>
      <c r="D293" s="84"/>
      <c r="E293" s="1301"/>
      <c r="F293" s="84"/>
      <c r="G293" s="1300"/>
      <c r="H293" s="84"/>
      <c r="I293" s="84"/>
      <c r="J293" s="1352" t="s">
        <v>291</v>
      </c>
      <c r="K293" s="84"/>
      <c r="L293" s="1393">
        <v>1945269.6</v>
      </c>
      <c r="M293" s="1394">
        <v>972062.4</v>
      </c>
      <c r="N293" s="1393">
        <v>973207.2</v>
      </c>
      <c r="O293" s="1393">
        <f>P293+Q293</f>
        <v>2659623.6</v>
      </c>
      <c r="P293" s="1394">
        <f>1326275.5+8177.18</f>
        <v>1334452.68</v>
      </c>
      <c r="Q293" s="1393">
        <f>1317039.6+8131.32</f>
        <v>1325170.9200000002</v>
      </c>
      <c r="R293" s="1393">
        <f>S293+T293</f>
        <v>3146693.07</v>
      </c>
      <c r="S293" s="1394">
        <v>1572489.68</v>
      </c>
      <c r="T293" s="1393">
        <v>1574203.39</v>
      </c>
      <c r="U293" s="84"/>
      <c r="V293" s="1308">
        <f>W293+X293</f>
        <v>3687143.5</v>
      </c>
      <c r="W293" s="1395">
        <v>1850329.48</v>
      </c>
      <c r="X293" s="1395">
        <v>1836814.02</v>
      </c>
      <c r="Y293" s="643">
        <v>1662341.18</v>
      </c>
    </row>
    <row r="294" spans="1:27" ht="13" x14ac:dyDescent="0.3">
      <c r="B294" s="1304"/>
      <c r="C294" s="1305"/>
      <c r="D294" s="1305"/>
      <c r="E294" s="1305" t="s">
        <v>44</v>
      </c>
      <c r="F294" s="1305"/>
      <c r="G294" s="1305"/>
      <c r="H294" s="1305"/>
      <c r="I294" s="1305"/>
      <c r="J294" s="1305"/>
      <c r="K294" s="1353"/>
      <c r="L294" s="1354" t="s">
        <v>45</v>
      </c>
      <c r="M294" s="1355" t="s">
        <v>46</v>
      </c>
      <c r="N294" s="1356" t="s">
        <v>46</v>
      </c>
      <c r="O294" s="1356" t="s">
        <v>45</v>
      </c>
      <c r="P294" s="1355" t="s">
        <v>46</v>
      </c>
      <c r="Q294" s="1356" t="s">
        <v>46</v>
      </c>
      <c r="R294" s="1356" t="s">
        <v>45</v>
      </c>
      <c r="S294" s="1355" t="s">
        <v>46</v>
      </c>
      <c r="T294" s="1356" t="s">
        <v>46</v>
      </c>
      <c r="U294" s="84"/>
      <c r="V294" s="1356" t="s">
        <v>202</v>
      </c>
      <c r="W294" s="1356" t="s">
        <v>47</v>
      </c>
      <c r="X294" s="1356" t="s">
        <v>47</v>
      </c>
      <c r="Y294" s="644" t="s">
        <v>46</v>
      </c>
    </row>
    <row r="295" spans="1:27" ht="13.5" thickBot="1" x14ac:dyDescent="0.35">
      <c r="B295" s="1306"/>
      <c r="C295" s="1307"/>
      <c r="D295" s="1307"/>
      <c r="E295" s="1307"/>
      <c r="F295" s="1307"/>
      <c r="G295" s="1307"/>
      <c r="H295" s="1307"/>
      <c r="I295" s="1307"/>
      <c r="J295" s="1307"/>
      <c r="K295" s="1357"/>
      <c r="L295" s="1358" t="s">
        <v>48</v>
      </c>
      <c r="M295" s="1359" t="s">
        <v>49</v>
      </c>
      <c r="N295" s="1360" t="s">
        <v>50</v>
      </c>
      <c r="O295" s="1360" t="s">
        <v>48</v>
      </c>
      <c r="P295" s="1359" t="s">
        <v>49</v>
      </c>
      <c r="Q295" s="1360" t="s">
        <v>50</v>
      </c>
      <c r="R295" s="1360" t="s">
        <v>48</v>
      </c>
      <c r="S295" s="1359" t="s">
        <v>49</v>
      </c>
      <c r="T295" s="1360" t="s">
        <v>50</v>
      </c>
      <c r="U295" s="84"/>
      <c r="V295" s="1308" t="s">
        <v>48</v>
      </c>
      <c r="W295" s="1361" t="s">
        <v>49</v>
      </c>
      <c r="X295" s="1361" t="s">
        <v>50</v>
      </c>
      <c r="Y295" s="572" t="s">
        <v>50</v>
      </c>
    </row>
    <row r="296" spans="1:27" ht="16" thickBot="1" x14ac:dyDescent="0.4">
      <c r="B296" s="1396" t="s">
        <v>203</v>
      </c>
      <c r="C296" s="1397"/>
      <c r="D296" s="1397"/>
      <c r="E296" s="1397"/>
      <c r="F296" s="1397"/>
      <c r="G296" s="1397"/>
      <c r="H296" s="1397"/>
      <c r="I296" s="1397"/>
      <c r="J296" s="1397"/>
      <c r="K296" s="1398"/>
      <c r="L296" s="1399"/>
      <c r="M296" s="1400"/>
      <c r="N296" s="1401"/>
      <c r="O296" s="1401"/>
      <c r="P296" s="1400"/>
      <c r="Q296" s="1401"/>
      <c r="R296" s="1401"/>
      <c r="S296" s="1400"/>
      <c r="T296" s="1401"/>
      <c r="U296" s="84"/>
      <c r="V296" s="1402"/>
      <c r="W296" s="1403"/>
      <c r="X296" s="1403"/>
      <c r="Y296" s="657"/>
      <c r="Z296" s="1075"/>
      <c r="AA296" s="593"/>
    </row>
    <row r="297" spans="1:27" ht="14" x14ac:dyDescent="0.3">
      <c r="B297" s="1640" t="s">
        <v>607</v>
      </c>
      <c r="C297" s="1641"/>
      <c r="D297" s="1641"/>
      <c r="E297" s="1641"/>
      <c r="F297" s="1641"/>
      <c r="G297" s="1641"/>
      <c r="H297" s="60"/>
      <c r="I297" s="60"/>
      <c r="J297" s="61"/>
      <c r="K297" s="61"/>
      <c r="L297" s="1642">
        <f>M297+N297</f>
        <v>148000</v>
      </c>
      <c r="M297" s="1643">
        <v>142000</v>
      </c>
      <c r="N297" s="265">
        <v>6000</v>
      </c>
      <c r="O297" s="235">
        <f t="shared" ref="O297:O315" si="34">P297+Q297</f>
        <v>314509.27</v>
      </c>
      <c r="P297" s="1644">
        <v>220179.27</v>
      </c>
      <c r="Q297" s="235">
        <v>94330</v>
      </c>
      <c r="R297" s="235">
        <f t="shared" ref="R297:R315" si="35">S297+T297</f>
        <v>377411.12400000001</v>
      </c>
      <c r="S297" s="1644">
        <f>220179.27/10*12</f>
        <v>264215.12400000001</v>
      </c>
      <c r="T297" s="235">
        <f>94330/10*12</f>
        <v>113196</v>
      </c>
      <c r="U297" s="882"/>
      <c r="V297" s="871">
        <f>W297+X297</f>
        <v>717000</v>
      </c>
      <c r="W297" s="1553">
        <f>W300+W301+W314</f>
        <v>465000</v>
      </c>
      <c r="X297" s="1553">
        <f>X300+X301+X314</f>
        <v>252000</v>
      </c>
      <c r="Y297" s="1583"/>
      <c r="Z297" s="1703"/>
      <c r="AA297" s="1081"/>
    </row>
    <row r="298" spans="1:27" ht="14" x14ac:dyDescent="0.3">
      <c r="B298" s="1645" t="s">
        <v>621</v>
      </c>
      <c r="C298" s="192"/>
      <c r="D298" s="192"/>
      <c r="E298" s="192"/>
      <c r="F298" s="192"/>
      <c r="G298" s="192"/>
      <c r="H298" s="885"/>
      <c r="I298" s="885"/>
      <c r="J298" s="1646"/>
      <c r="K298" s="1646"/>
      <c r="L298" s="1647"/>
      <c r="M298" s="1643"/>
      <c r="N298" s="265"/>
      <c r="O298" s="235"/>
      <c r="P298" s="1644"/>
      <c r="Q298" s="235"/>
      <c r="R298" s="235"/>
      <c r="S298" s="1644"/>
      <c r="T298" s="235"/>
      <c r="U298" s="882"/>
      <c r="V298" s="1630"/>
      <c r="W298" s="1631"/>
      <c r="X298" s="1631"/>
      <c r="Y298" s="1584"/>
      <c r="Z298" s="1703"/>
      <c r="AA298" s="1081"/>
    </row>
    <row r="299" spans="1:27" ht="14" x14ac:dyDescent="0.3">
      <c r="B299" s="1917" t="s">
        <v>618</v>
      </c>
      <c r="C299" s="1918"/>
      <c r="D299" s="1918"/>
      <c r="E299" s="1918"/>
      <c r="F299" s="1918"/>
      <c r="G299" s="1918"/>
      <c r="H299" s="1918"/>
      <c r="I299" s="1918"/>
      <c r="J299" s="1919"/>
      <c r="K299" s="1646"/>
      <c r="L299" s="1647"/>
      <c r="M299" s="1643"/>
      <c r="N299" s="265"/>
      <c r="O299" s="235"/>
      <c r="P299" s="1644"/>
      <c r="Q299" s="235"/>
      <c r="R299" s="235"/>
      <c r="S299" s="1644"/>
      <c r="T299" s="235"/>
      <c r="U299" s="882"/>
      <c r="V299" s="1630">
        <f>W299+X299</f>
        <v>417000</v>
      </c>
      <c r="W299" s="1631">
        <f>W300+W301</f>
        <v>315000</v>
      </c>
      <c r="X299" s="1631">
        <f>X300+X301</f>
        <v>102000</v>
      </c>
      <c r="Y299" s="1584"/>
      <c r="Z299" s="1703"/>
      <c r="AA299" s="1081"/>
    </row>
    <row r="300" spans="1:27" ht="13" x14ac:dyDescent="0.3">
      <c r="B300" s="1648" t="s">
        <v>601</v>
      </c>
      <c r="C300" s="1649"/>
      <c r="D300" s="1649"/>
      <c r="E300" s="1649"/>
      <c r="F300" s="1650"/>
      <c r="G300" s="1649"/>
      <c r="H300" s="1649"/>
      <c r="I300" s="1651"/>
      <c r="J300" s="1652"/>
      <c r="K300" s="676"/>
      <c r="L300" s="882"/>
      <c r="M300" s="1643">
        <v>0</v>
      </c>
      <c r="N300" s="265">
        <v>0</v>
      </c>
      <c r="O300" s="235">
        <f t="shared" si="34"/>
        <v>371649.47</v>
      </c>
      <c r="P300" s="1644">
        <f>121440+20205.87+3579+3468+1462.5+25740+2000+9667.7</f>
        <v>187563.07</v>
      </c>
      <c r="Q300" s="235">
        <f>6618.5+115920+20205.87+1462.5+10329.53+2730+24570+2250</f>
        <v>184086.39999999999</v>
      </c>
      <c r="R300" s="235">
        <f t="shared" si="35"/>
        <v>445979.36</v>
      </c>
      <c r="S300" s="1644">
        <v>225075.68</v>
      </c>
      <c r="T300" s="235">
        <v>220903.67999999999</v>
      </c>
      <c r="U300" s="882" t="s">
        <v>208</v>
      </c>
      <c r="V300" s="1611">
        <f>W300+X297:X300</f>
        <v>256000</v>
      </c>
      <c r="W300" s="1632">
        <v>210000</v>
      </c>
      <c r="X300" s="1632">
        <v>46000</v>
      </c>
      <c r="Y300" s="1584"/>
      <c r="Z300" s="1704"/>
      <c r="AA300" s="1088"/>
    </row>
    <row r="301" spans="1:27" ht="16.5" customHeight="1" x14ac:dyDescent="0.3">
      <c r="B301" s="1929" t="s">
        <v>602</v>
      </c>
      <c r="C301" s="1930"/>
      <c r="D301" s="1930"/>
      <c r="E301" s="1930"/>
      <c r="F301" s="1930"/>
      <c r="G301" s="1930"/>
      <c r="H301" s="1930"/>
      <c r="I301" s="1930"/>
      <c r="J301" s="1931"/>
      <c r="K301" s="676"/>
      <c r="L301" s="1642">
        <f>M301+N301</f>
        <v>260800</v>
      </c>
      <c r="M301" s="1643">
        <v>158400</v>
      </c>
      <c r="N301" s="265">
        <v>102400</v>
      </c>
      <c r="O301" s="235">
        <f t="shared" si="34"/>
        <v>181741.78000000003</v>
      </c>
      <c r="P301" s="235">
        <f>P314+P315</f>
        <v>110616.78000000001</v>
      </c>
      <c r="Q301" s="235">
        <f>Q314+Q315</f>
        <v>71125</v>
      </c>
      <c r="R301" s="235">
        <f t="shared" si="35"/>
        <v>218090.16</v>
      </c>
      <c r="S301" s="235">
        <f>S314+S315</f>
        <v>132740.16</v>
      </c>
      <c r="T301" s="235">
        <f>T314+T315</f>
        <v>85350</v>
      </c>
      <c r="U301" s="882"/>
      <c r="V301" s="1611">
        <f>W301+X300:X301</f>
        <v>161000</v>
      </c>
      <c r="W301" s="1632">
        <v>105000</v>
      </c>
      <c r="X301" s="1632">
        <v>56000</v>
      </c>
      <c r="Y301" s="1584"/>
      <c r="Z301" s="1704"/>
      <c r="AA301" s="1088"/>
    </row>
    <row r="302" spans="1:27" ht="47.15" customHeight="1" x14ac:dyDescent="0.3">
      <c r="B302" s="1908" t="s">
        <v>603</v>
      </c>
      <c r="C302" s="1909"/>
      <c r="D302" s="1909"/>
      <c r="E302" s="1909"/>
      <c r="F302" s="1909"/>
      <c r="G302" s="1909"/>
      <c r="H302" s="1909"/>
      <c r="I302" s="1909"/>
      <c r="J302" s="1910"/>
      <c r="K302" s="1405"/>
      <c r="L302" s="1399"/>
      <c r="M302" s="1400"/>
      <c r="N302" s="1401"/>
      <c r="O302" s="1363"/>
      <c r="P302" s="1363"/>
      <c r="Q302" s="1363"/>
      <c r="R302" s="1363"/>
      <c r="S302" s="1363"/>
      <c r="T302" s="1363"/>
      <c r="U302" s="84"/>
      <c r="V302" s="1602"/>
      <c r="W302" s="1603"/>
      <c r="X302" s="1603"/>
      <c r="Y302" s="668"/>
      <c r="Z302" s="1088"/>
      <c r="AA302" s="1088"/>
    </row>
    <row r="303" spans="1:27" ht="13" x14ac:dyDescent="0.3">
      <c r="B303" s="1853" t="s">
        <v>443</v>
      </c>
      <c r="C303" s="1854"/>
      <c r="D303" s="1854"/>
      <c r="E303" s="1854"/>
      <c r="F303" s="1854"/>
      <c r="G303" s="1854"/>
      <c r="H303" s="1854"/>
      <c r="I303" s="1854"/>
      <c r="J303" s="1855"/>
      <c r="K303" s="1405"/>
      <c r="L303" s="1399"/>
      <c r="M303" s="1400"/>
      <c r="N303" s="1401"/>
      <c r="O303" s="1363"/>
      <c r="P303" s="1363"/>
      <c r="Q303" s="1363"/>
      <c r="R303" s="1363"/>
      <c r="S303" s="1363"/>
      <c r="T303" s="1363"/>
      <c r="U303" s="84"/>
      <c r="V303" s="1408"/>
      <c r="W303" s="1407"/>
      <c r="X303" s="1407"/>
      <c r="Y303" s="668"/>
      <c r="Z303" s="1088"/>
      <c r="AA303" s="1088"/>
    </row>
    <row r="304" spans="1:27" ht="13" x14ac:dyDescent="0.3">
      <c r="B304" s="1853" t="s">
        <v>444</v>
      </c>
      <c r="C304" s="1854"/>
      <c r="D304" s="1854"/>
      <c r="E304" s="1854"/>
      <c r="F304" s="1854"/>
      <c r="G304" s="1854"/>
      <c r="H304" s="1854"/>
      <c r="I304" s="1854"/>
      <c r="J304" s="1855"/>
      <c r="K304" s="1405"/>
      <c r="L304" s="1399"/>
      <c r="M304" s="1400"/>
      <c r="N304" s="1401"/>
      <c r="O304" s="1363"/>
      <c r="P304" s="1363"/>
      <c r="Q304" s="1363"/>
      <c r="R304" s="1363"/>
      <c r="S304" s="1363"/>
      <c r="T304" s="1363"/>
      <c r="U304" s="84"/>
      <c r="V304" s="1408"/>
      <c r="W304" s="1407"/>
      <c r="X304" s="1407"/>
      <c r="Y304" s="668"/>
      <c r="Z304" s="1088"/>
      <c r="AA304" s="1088"/>
    </row>
    <row r="305" spans="2:28" ht="13" x14ac:dyDescent="0.3">
      <c r="B305" s="1853" t="s">
        <v>445</v>
      </c>
      <c r="C305" s="1854"/>
      <c r="D305" s="1854"/>
      <c r="E305" s="1854"/>
      <c r="F305" s="1854"/>
      <c r="G305" s="1854"/>
      <c r="H305" s="1854"/>
      <c r="I305" s="1854"/>
      <c r="J305" s="1855"/>
      <c r="K305" s="1405"/>
      <c r="L305" s="1399"/>
      <c r="M305" s="1400"/>
      <c r="N305" s="1401"/>
      <c r="O305" s="1363"/>
      <c r="P305" s="1363"/>
      <c r="Q305" s="1363"/>
      <c r="R305" s="1363"/>
      <c r="S305" s="1363"/>
      <c r="T305" s="1363"/>
      <c r="U305" s="84"/>
      <c r="V305" s="1408"/>
      <c r="W305" s="1407"/>
      <c r="X305" s="1407"/>
      <c r="Y305" s="668"/>
      <c r="Z305" s="1088"/>
      <c r="AA305" s="1088"/>
    </row>
    <row r="306" spans="2:28" ht="13" x14ac:dyDescent="0.3">
      <c r="B306" s="1853" t="s">
        <v>446</v>
      </c>
      <c r="C306" s="1854"/>
      <c r="D306" s="1854"/>
      <c r="E306" s="1854"/>
      <c r="F306" s="1854"/>
      <c r="G306" s="1854"/>
      <c r="H306" s="1854"/>
      <c r="I306" s="1854"/>
      <c r="J306" s="1855"/>
      <c r="K306" s="1405"/>
      <c r="L306" s="1399"/>
      <c r="M306" s="1400"/>
      <c r="N306" s="1401"/>
      <c r="O306" s="1363"/>
      <c r="P306" s="1363"/>
      <c r="Q306" s="1363"/>
      <c r="R306" s="1363"/>
      <c r="S306" s="1363"/>
      <c r="T306" s="1363"/>
      <c r="U306" s="84"/>
      <c r="V306" s="1408"/>
      <c r="W306" s="1407"/>
      <c r="X306" s="1407"/>
      <c r="Y306" s="668"/>
      <c r="Z306" s="1088"/>
      <c r="AA306" s="1088"/>
    </row>
    <row r="307" spans="2:28" ht="57.75" customHeight="1" x14ac:dyDescent="0.3">
      <c r="B307" s="1853" t="s">
        <v>447</v>
      </c>
      <c r="C307" s="1854"/>
      <c r="D307" s="1854"/>
      <c r="E307" s="1854"/>
      <c r="F307" s="1854"/>
      <c r="G307" s="1854"/>
      <c r="H307" s="1854"/>
      <c r="I307" s="1854"/>
      <c r="J307" s="1855"/>
      <c r="K307" s="1405"/>
      <c r="L307" s="1399"/>
      <c r="M307" s="1400"/>
      <c r="N307" s="1401"/>
      <c r="O307" s="1363"/>
      <c r="P307" s="1363"/>
      <c r="Q307" s="1363"/>
      <c r="R307" s="1363"/>
      <c r="S307" s="1363"/>
      <c r="T307" s="1363"/>
      <c r="U307" s="84"/>
      <c r="V307" s="1408"/>
      <c r="W307" s="1407"/>
      <c r="X307" s="1407"/>
      <c r="Y307" s="668"/>
      <c r="Z307" s="1088"/>
      <c r="AA307" s="1088"/>
    </row>
    <row r="308" spans="2:28" ht="32.25" customHeight="1" x14ac:dyDescent="0.3">
      <c r="B308" s="1853" t="s">
        <v>448</v>
      </c>
      <c r="C308" s="1868"/>
      <c r="D308" s="1868"/>
      <c r="E308" s="1868"/>
      <c r="F308" s="1868"/>
      <c r="G308" s="1868"/>
      <c r="H308" s="1868"/>
      <c r="I308" s="1868"/>
      <c r="J308" s="1869"/>
      <c r="K308" s="1405"/>
      <c r="L308" s="1399"/>
      <c r="M308" s="1400"/>
      <c r="N308" s="1401"/>
      <c r="O308" s="1363"/>
      <c r="P308" s="1363"/>
      <c r="Q308" s="1363"/>
      <c r="R308" s="1363"/>
      <c r="S308" s="1363"/>
      <c r="T308" s="1363"/>
      <c r="U308" s="84"/>
      <c r="V308" s="1408"/>
      <c r="W308" s="1407"/>
      <c r="X308" s="1407"/>
      <c r="Y308" s="668"/>
      <c r="Z308" s="1088"/>
      <c r="AA308" s="1088"/>
    </row>
    <row r="309" spans="2:28" ht="13" x14ac:dyDescent="0.3">
      <c r="B309" s="1853" t="s">
        <v>449</v>
      </c>
      <c r="C309" s="1854"/>
      <c r="D309" s="1854"/>
      <c r="E309" s="1854"/>
      <c r="F309" s="1854"/>
      <c r="G309" s="1854"/>
      <c r="H309" s="1854"/>
      <c r="I309" s="1854"/>
      <c r="J309" s="1855"/>
      <c r="K309" s="1405"/>
      <c r="L309" s="1399"/>
      <c r="M309" s="1400"/>
      <c r="N309" s="1401"/>
      <c r="O309" s="1363"/>
      <c r="P309" s="1363"/>
      <c r="Q309" s="1363"/>
      <c r="R309" s="1363"/>
      <c r="S309" s="1363"/>
      <c r="T309" s="1363"/>
      <c r="U309" s="84"/>
      <c r="V309" s="1408"/>
      <c r="W309" s="1407"/>
      <c r="X309" s="1407"/>
      <c r="Y309" s="668"/>
      <c r="Z309" s="1088"/>
      <c r="AA309" s="1088"/>
    </row>
    <row r="310" spans="2:28" ht="13" x14ac:dyDescent="0.3">
      <c r="B310" s="1853" t="s">
        <v>450</v>
      </c>
      <c r="C310" s="1854"/>
      <c r="D310" s="1854"/>
      <c r="E310" s="1854"/>
      <c r="F310" s="1854"/>
      <c r="G310" s="1854"/>
      <c r="H310" s="1854"/>
      <c r="I310" s="1854"/>
      <c r="J310" s="1855"/>
      <c r="K310" s="1405"/>
      <c r="L310" s="1399"/>
      <c r="M310" s="1400"/>
      <c r="N310" s="1401"/>
      <c r="O310" s="1363"/>
      <c r="P310" s="1363"/>
      <c r="Q310" s="1363"/>
      <c r="R310" s="1363"/>
      <c r="S310" s="1363"/>
      <c r="T310" s="1363"/>
      <c r="U310" s="84"/>
      <c r="V310" s="1408"/>
      <c r="W310" s="1407"/>
      <c r="X310" s="1407"/>
      <c r="Y310" s="668"/>
      <c r="Z310" s="1088"/>
      <c r="AA310" s="1088"/>
    </row>
    <row r="311" spans="2:28" ht="29.25" customHeight="1" x14ac:dyDescent="0.3">
      <c r="B311" s="1853" t="s">
        <v>451</v>
      </c>
      <c r="C311" s="1854"/>
      <c r="D311" s="1854"/>
      <c r="E311" s="1854"/>
      <c r="F311" s="1854"/>
      <c r="G311" s="1854"/>
      <c r="H311" s="1854"/>
      <c r="I311" s="1854"/>
      <c r="J311" s="1855"/>
      <c r="K311" s="1405"/>
      <c r="L311" s="1399"/>
      <c r="M311" s="1400"/>
      <c r="N311" s="1401"/>
      <c r="O311" s="1363"/>
      <c r="P311" s="1363"/>
      <c r="Q311" s="1363"/>
      <c r="R311" s="1363"/>
      <c r="S311" s="1363"/>
      <c r="T311" s="1363"/>
      <c r="U311" s="84"/>
      <c r="V311" s="1408"/>
      <c r="W311" s="1407"/>
      <c r="X311" s="1407"/>
      <c r="Y311" s="668"/>
      <c r="Z311" s="1088"/>
      <c r="AA311" s="1088"/>
    </row>
    <row r="312" spans="2:28" ht="13" x14ac:dyDescent="0.3">
      <c r="B312" s="1853" t="s">
        <v>452</v>
      </c>
      <c r="C312" s="1854"/>
      <c r="D312" s="1854"/>
      <c r="E312" s="1854"/>
      <c r="F312" s="1854"/>
      <c r="G312" s="1854"/>
      <c r="H312" s="1854"/>
      <c r="I312" s="1854"/>
      <c r="J312" s="1855"/>
      <c r="K312" s="1405"/>
      <c r="L312" s="1399"/>
      <c r="M312" s="1400"/>
      <c r="N312" s="1401"/>
      <c r="O312" s="1363"/>
      <c r="P312" s="1363"/>
      <c r="Q312" s="1363"/>
      <c r="R312" s="1363"/>
      <c r="S312" s="1363"/>
      <c r="T312" s="1363"/>
      <c r="U312" s="84"/>
      <c r="V312" s="1599"/>
      <c r="W312" s="1040"/>
      <c r="X312" s="1040"/>
      <c r="Y312" s="668"/>
      <c r="Z312" s="1088"/>
      <c r="AA312" s="1088"/>
    </row>
    <row r="313" spans="2:28" ht="13" x14ac:dyDescent="0.3">
      <c r="B313" s="1926" t="s">
        <v>453</v>
      </c>
      <c r="C313" s="1927"/>
      <c r="D313" s="1927"/>
      <c r="E313" s="1927"/>
      <c r="F313" s="1927"/>
      <c r="G313" s="1927"/>
      <c r="H313" s="1927"/>
      <c r="I313" s="1927"/>
      <c r="J313" s="1928"/>
      <c r="K313" s="1595"/>
      <c r="L313" s="1410"/>
      <c r="M313" s="1411"/>
      <c r="N313" s="1312"/>
      <c r="O313" s="1368"/>
      <c r="P313" s="1368"/>
      <c r="Q313" s="1368"/>
      <c r="R313" s="1368"/>
      <c r="S313" s="1368"/>
      <c r="T313" s="1368"/>
      <c r="U313" s="84"/>
      <c r="V313" s="1600"/>
      <c r="W313" s="1601"/>
      <c r="X313" s="1601"/>
      <c r="Y313" s="668"/>
      <c r="Z313" s="1088"/>
      <c r="AA313" s="1088"/>
    </row>
    <row r="314" spans="2:28" ht="14.5" thickBot="1" x14ac:dyDescent="0.35">
      <c r="B314" s="1870" t="s">
        <v>606</v>
      </c>
      <c r="C314" s="1871"/>
      <c r="D314" s="1871"/>
      <c r="E314" s="1871"/>
      <c r="F314" s="1871"/>
      <c r="G314" s="1871"/>
      <c r="H314" s="1871"/>
      <c r="I314" s="1871"/>
      <c r="J314" s="1872"/>
      <c r="K314" s="1409"/>
      <c r="L314" s="1410"/>
      <c r="M314" s="1411"/>
      <c r="N314" s="1312"/>
      <c r="O314" s="1312">
        <f t="shared" si="34"/>
        <v>181741.78000000003</v>
      </c>
      <c r="P314" s="1312">
        <f>6407.73+1271.67+15600+20800+9306.62+39000+14850.1+1755.66+575+1050</f>
        <v>110616.78000000001</v>
      </c>
      <c r="Q314" s="1312">
        <f>18300+3925+13000+3500+2000+23400+5000+2000</f>
        <v>71125</v>
      </c>
      <c r="R314" s="1312">
        <f t="shared" si="35"/>
        <v>218090.16</v>
      </c>
      <c r="S314" s="1312">
        <v>132740.16</v>
      </c>
      <c r="T314" s="1312">
        <v>85350</v>
      </c>
      <c r="U314" s="84" t="s">
        <v>211</v>
      </c>
      <c r="V314" s="1597">
        <f>W314+X314</f>
        <v>300000</v>
      </c>
      <c r="W314" s="1596">
        <v>150000</v>
      </c>
      <c r="X314" s="1596">
        <v>150000</v>
      </c>
      <c r="Y314" s="668"/>
      <c r="Z314" s="1083"/>
      <c r="AA314" s="1083"/>
      <c r="AB314" s="1089"/>
    </row>
    <row r="315" spans="2:28" ht="40.5" customHeight="1" thickBot="1" x14ac:dyDescent="0.4">
      <c r="B315" s="1873" t="s">
        <v>454</v>
      </c>
      <c r="C315" s="1874"/>
      <c r="D315" s="1874"/>
      <c r="E315" s="1874"/>
      <c r="F315" s="1874"/>
      <c r="G315" s="1874"/>
      <c r="H315" s="1874"/>
      <c r="I315" s="1874"/>
      <c r="J315" s="1874"/>
      <c r="K315" s="1413"/>
      <c r="L315" s="1414"/>
      <c r="M315" s="1381"/>
      <c r="N315" s="1382"/>
      <c r="O315" s="1382">
        <f t="shared" si="34"/>
        <v>0</v>
      </c>
      <c r="P315" s="1381">
        <v>0</v>
      </c>
      <c r="Q315" s="1382">
        <v>0</v>
      </c>
      <c r="R315" s="1382">
        <f t="shared" si="35"/>
        <v>0</v>
      </c>
      <c r="S315" s="1381">
        <v>0</v>
      </c>
      <c r="T315" s="1382">
        <v>0</v>
      </c>
      <c r="U315" s="1316"/>
      <c r="V315" s="1415">
        <f>W315+X315</f>
        <v>600000</v>
      </c>
      <c r="W315" s="1416">
        <v>300000</v>
      </c>
      <c r="X315" s="1417">
        <v>300000</v>
      </c>
      <c r="Y315" s="668"/>
      <c r="Z315" s="1083"/>
      <c r="AA315" s="1083"/>
    </row>
    <row r="316" spans="2:28" ht="26.25" customHeight="1" x14ac:dyDescent="0.3">
      <c r="B316" s="1897" t="s">
        <v>455</v>
      </c>
      <c r="C316" s="1898"/>
      <c r="D316" s="1898"/>
      <c r="E316" s="1898"/>
      <c r="F316" s="1898"/>
      <c r="G316" s="1898"/>
      <c r="H316" s="1898"/>
      <c r="I316" s="1898"/>
      <c r="J316" s="1898"/>
      <c r="K316" s="1418"/>
      <c r="L316" s="1419"/>
      <c r="M316" s="1420"/>
      <c r="N316" s="1421"/>
      <c r="O316" s="1421"/>
      <c r="P316" s="1420"/>
      <c r="Q316" s="1421"/>
      <c r="R316" s="1421"/>
      <c r="S316" s="1420"/>
      <c r="T316" s="1421"/>
      <c r="U316" s="91"/>
      <c r="V316" s="1422"/>
      <c r="W316" s="1423"/>
      <c r="X316" s="1423"/>
      <c r="Y316" s="668"/>
      <c r="Z316" s="1298"/>
      <c r="AA316" s="1298"/>
    </row>
    <row r="317" spans="2:28" ht="26.25" customHeight="1" x14ac:dyDescent="0.3">
      <c r="B317" s="1853" t="s">
        <v>456</v>
      </c>
      <c r="C317" s="1854"/>
      <c r="D317" s="1854"/>
      <c r="E317" s="1854"/>
      <c r="F317" s="1854"/>
      <c r="G317" s="1854"/>
      <c r="H317" s="1854"/>
      <c r="I317" s="1854"/>
      <c r="J317" s="1854"/>
      <c r="K317" s="1418"/>
      <c r="L317" s="1399"/>
      <c r="M317" s="1400"/>
      <c r="N317" s="1401"/>
      <c r="O317" s="1401"/>
      <c r="P317" s="1400"/>
      <c r="Q317" s="1401"/>
      <c r="R317" s="1401"/>
      <c r="S317" s="1400"/>
      <c r="T317" s="1401"/>
      <c r="U317" s="91"/>
      <c r="V317" s="1422"/>
      <c r="W317" s="1423"/>
      <c r="X317" s="1423"/>
      <c r="Y317" s="668"/>
      <c r="Z317" s="1298"/>
      <c r="AA317" s="1298"/>
    </row>
    <row r="318" spans="2:28" ht="26.25" customHeight="1" x14ac:dyDescent="0.3">
      <c r="B318" s="1853" t="s">
        <v>457</v>
      </c>
      <c r="C318" s="1854"/>
      <c r="D318" s="1854"/>
      <c r="E318" s="1854"/>
      <c r="F318" s="1854"/>
      <c r="G318" s="1854"/>
      <c r="H318" s="1854"/>
      <c r="I318" s="1854"/>
      <c r="J318" s="1854"/>
      <c r="K318" s="1418"/>
      <c r="L318" s="1399"/>
      <c r="M318" s="1400"/>
      <c r="N318" s="1401"/>
      <c r="O318" s="1401"/>
      <c r="P318" s="1400"/>
      <c r="Q318" s="1401"/>
      <c r="R318" s="1401"/>
      <c r="S318" s="1400"/>
      <c r="T318" s="1401"/>
      <c r="U318" s="91"/>
      <c r="V318" s="1422"/>
      <c r="W318" s="1423"/>
      <c r="X318" s="1423"/>
      <c r="Y318" s="668"/>
      <c r="Z318" s="1298"/>
      <c r="AA318" s="1298"/>
    </row>
    <row r="319" spans="2:28" ht="26.25" customHeight="1" x14ac:dyDescent="0.3">
      <c r="B319" s="1853" t="s">
        <v>458</v>
      </c>
      <c r="C319" s="1854"/>
      <c r="D319" s="1854"/>
      <c r="E319" s="1854"/>
      <c r="F319" s="1854"/>
      <c r="G319" s="1854"/>
      <c r="H319" s="1854"/>
      <c r="I319" s="1854"/>
      <c r="J319" s="1854"/>
      <c r="K319" s="1418"/>
      <c r="L319" s="1399"/>
      <c r="M319" s="1400"/>
      <c r="N319" s="1401"/>
      <c r="O319" s="1401"/>
      <c r="P319" s="1400"/>
      <c r="Q319" s="1401"/>
      <c r="R319" s="1401"/>
      <c r="S319" s="1400"/>
      <c r="T319" s="1401"/>
      <c r="U319" s="91"/>
      <c r="V319" s="1422"/>
      <c r="W319" s="1423"/>
      <c r="X319" s="1423"/>
      <c r="Y319" s="668"/>
      <c r="Z319" s="1298"/>
      <c r="AA319" s="1298"/>
    </row>
    <row r="320" spans="2:28" ht="26.25" customHeight="1" thickBot="1" x14ac:dyDescent="0.35">
      <c r="B320" s="1895" t="s">
        <v>459</v>
      </c>
      <c r="C320" s="1896"/>
      <c r="D320" s="1896"/>
      <c r="E320" s="1896"/>
      <c r="F320" s="1896"/>
      <c r="G320" s="1896"/>
      <c r="H320" s="1896"/>
      <c r="I320" s="1896"/>
      <c r="J320" s="1896"/>
      <c r="K320" s="1424"/>
      <c r="L320" s="1425"/>
      <c r="M320" s="1426"/>
      <c r="N320" s="1427"/>
      <c r="O320" s="1427"/>
      <c r="P320" s="1426"/>
      <c r="Q320" s="1427"/>
      <c r="R320" s="1427"/>
      <c r="S320" s="1426"/>
      <c r="T320" s="1427"/>
      <c r="U320" s="1428"/>
      <c r="V320" s="1395"/>
      <c r="W320" s="1429"/>
      <c r="X320" s="1429"/>
      <c r="Y320" s="668"/>
      <c r="Z320" s="1298"/>
      <c r="AA320" s="1298"/>
    </row>
    <row r="321" spans="2:28" ht="16" thickBot="1" x14ac:dyDescent="0.4">
      <c r="B321" s="1430" t="s">
        <v>460</v>
      </c>
      <c r="C321" s="90"/>
      <c r="D321" s="90"/>
      <c r="E321" s="90"/>
      <c r="F321" s="90"/>
      <c r="G321" s="1431"/>
      <c r="H321" s="90"/>
      <c r="I321" s="90"/>
      <c r="J321" s="90"/>
      <c r="K321" s="1413"/>
      <c r="L321" s="1316"/>
      <c r="M321" s="1316"/>
      <c r="N321" s="1316"/>
      <c r="O321" s="1382">
        <f>P321+Q321</f>
        <v>0</v>
      </c>
      <c r="P321" s="1381">
        <f>P324+P325</f>
        <v>0</v>
      </c>
      <c r="Q321" s="1381">
        <f>Q324+Q325</f>
        <v>0</v>
      </c>
      <c r="R321" s="1382">
        <f>S321+T321</f>
        <v>0</v>
      </c>
      <c r="S321" s="1381">
        <f>S324+S325</f>
        <v>0</v>
      </c>
      <c r="T321" s="1381">
        <f>T324+T325</f>
        <v>0</v>
      </c>
      <c r="U321" s="1316"/>
      <c r="V321" s="1604">
        <f>W321+X321</f>
        <v>600000</v>
      </c>
      <c r="W321" s="1605">
        <v>300000</v>
      </c>
      <c r="X321" s="1605">
        <v>300000</v>
      </c>
      <c r="Y321" s="665"/>
      <c r="Z321" s="1075"/>
      <c r="AA321" s="593"/>
    </row>
    <row r="322" spans="2:28" ht="14.5" thickBot="1" x14ac:dyDescent="0.35">
      <c r="B322" s="1593"/>
      <c r="C322" s="1594"/>
      <c r="D322" s="1594"/>
      <c r="E322" s="1594"/>
      <c r="F322" s="1594"/>
      <c r="G322" s="1594"/>
      <c r="H322" s="91"/>
      <c r="I322" s="91"/>
      <c r="J322" s="1418"/>
      <c r="K322" s="1418"/>
      <c r="L322" s="91"/>
      <c r="M322" s="91"/>
      <c r="N322" s="91"/>
      <c r="O322" s="1452"/>
      <c r="P322" s="1451"/>
      <c r="Q322" s="1451"/>
      <c r="R322" s="1452"/>
      <c r="S322" s="1451"/>
      <c r="T322" s="1451"/>
      <c r="U322" s="91"/>
      <c r="V322" s="1606"/>
      <c r="W322" s="1607"/>
      <c r="X322" s="1608"/>
      <c r="Y322" s="665"/>
      <c r="Z322" s="1081"/>
      <c r="AA322" s="593"/>
    </row>
    <row r="323" spans="2:28" ht="13" x14ac:dyDescent="0.3">
      <c r="B323" s="1932" t="s">
        <v>556</v>
      </c>
      <c r="C323" s="1932"/>
      <c r="D323" s="1932"/>
      <c r="E323" s="1932"/>
      <c r="F323" s="1932"/>
      <c r="G323" s="1932"/>
      <c r="H323" s="1932"/>
      <c r="I323" s="1932"/>
      <c r="J323" s="1932"/>
      <c r="K323" s="1418"/>
      <c r="L323" s="91"/>
      <c r="M323" s="91"/>
      <c r="N323" s="91"/>
      <c r="O323" s="1421"/>
      <c r="P323" s="1420"/>
      <c r="Q323" s="1421"/>
      <c r="R323" s="1421"/>
      <c r="S323" s="1420"/>
      <c r="T323" s="1421"/>
      <c r="U323" s="91"/>
      <c r="V323" s="1609"/>
      <c r="W323" s="1610"/>
      <c r="X323" s="1609"/>
      <c r="Y323" s="1029"/>
      <c r="Z323" s="1081"/>
      <c r="AA323" s="1081"/>
    </row>
    <row r="324" spans="2:28" s="104" customFormat="1" ht="13" x14ac:dyDescent="0.3">
      <c r="B324" s="1433" t="s">
        <v>461</v>
      </c>
      <c r="C324" s="1433"/>
      <c r="D324" s="1433"/>
      <c r="E324" s="1433"/>
      <c r="F324" s="1433"/>
      <c r="G324" s="1433"/>
      <c r="H324" s="1433"/>
      <c r="I324" s="1433"/>
      <c r="J324" s="1433"/>
      <c r="K324" s="1418"/>
      <c r="L324" s="91"/>
      <c r="M324" s="91"/>
      <c r="N324" s="91"/>
      <c r="O324" s="1401">
        <f>P324+Q324</f>
        <v>0</v>
      </c>
      <c r="P324" s="1400">
        <v>0</v>
      </c>
      <c r="Q324" s="1401">
        <v>0</v>
      </c>
      <c r="R324" s="1401">
        <f>S324+T324</f>
        <v>0</v>
      </c>
      <c r="S324" s="1400">
        <v>0</v>
      </c>
      <c r="T324" s="1401">
        <v>0</v>
      </c>
      <c r="U324" s="91"/>
      <c r="V324" s="1611"/>
      <c r="W324" s="1612"/>
      <c r="X324" s="1611"/>
      <c r="Y324" s="1092"/>
      <c r="Z324" s="1582"/>
      <c r="AA324" s="1088"/>
    </row>
    <row r="325" spans="2:28" ht="13" x14ac:dyDescent="0.3">
      <c r="B325" s="1435" t="s">
        <v>462</v>
      </c>
      <c r="C325" s="1435"/>
      <c r="D325" s="1435"/>
      <c r="E325" s="1435"/>
      <c r="F325" s="1435"/>
      <c r="G325" s="1435"/>
      <c r="H325" s="1435"/>
      <c r="I325" s="1435"/>
      <c r="J325" s="1435"/>
      <c r="K325" s="1418"/>
      <c r="L325" s="91"/>
      <c r="M325" s="91"/>
      <c r="N325" s="91"/>
      <c r="O325" s="1401">
        <f>P325+Q325</f>
        <v>0</v>
      </c>
      <c r="P325" s="1400">
        <v>0</v>
      </c>
      <c r="Q325" s="1401">
        <v>0</v>
      </c>
      <c r="R325" s="1401">
        <f>S325+T325</f>
        <v>0</v>
      </c>
      <c r="S325" s="1400">
        <v>0</v>
      </c>
      <c r="T325" s="1401">
        <v>0</v>
      </c>
      <c r="U325" s="91"/>
      <c r="V325" s="1611"/>
      <c r="W325" s="1612"/>
      <c r="X325" s="1611"/>
      <c r="Y325" s="1093"/>
      <c r="Z325" s="1088"/>
      <c r="AA325" s="1088"/>
    </row>
    <row r="326" spans="2:28" ht="26.25" customHeight="1" x14ac:dyDescent="0.3">
      <c r="B326" s="1868" t="s">
        <v>463</v>
      </c>
      <c r="C326" s="1868"/>
      <c r="D326" s="1868"/>
      <c r="E326" s="1868"/>
      <c r="F326" s="1868"/>
      <c r="G326" s="1868"/>
      <c r="H326" s="1868"/>
      <c r="I326" s="1868"/>
      <c r="J326" s="1868"/>
      <c r="K326" s="1418"/>
      <c r="L326" s="1399"/>
      <c r="M326" s="1400"/>
      <c r="N326" s="1401"/>
      <c r="O326" s="1363">
        <f>P326+Q326</f>
        <v>63600</v>
      </c>
      <c r="P326" s="1364"/>
      <c r="Q326" s="1363">
        <f>23600+40000</f>
        <v>63600</v>
      </c>
      <c r="R326" s="1363">
        <f>S326+T326</f>
        <v>76320</v>
      </c>
      <c r="S326" s="1364"/>
      <c r="T326" s="1363">
        <v>76320</v>
      </c>
      <c r="U326" s="91"/>
      <c r="V326" s="1611"/>
      <c r="W326" s="1612"/>
      <c r="X326" s="1611"/>
      <c r="Y326" s="668"/>
      <c r="Z326" s="1083"/>
      <c r="AA326" s="1783"/>
      <c r="AB326" s="1784"/>
    </row>
    <row r="327" spans="2:28" ht="15.75" customHeight="1" x14ac:dyDescent="0.3">
      <c r="B327" s="1853" t="s">
        <v>464</v>
      </c>
      <c r="C327" s="1854"/>
      <c r="D327" s="1854"/>
      <c r="E327" s="1854"/>
      <c r="F327" s="1854"/>
      <c r="G327" s="1854"/>
      <c r="H327" s="1854"/>
      <c r="I327" s="1854"/>
      <c r="J327" s="1854"/>
      <c r="K327" s="1418"/>
      <c r="L327" s="1399"/>
      <c r="M327" s="1400"/>
      <c r="N327" s="1401"/>
      <c r="O327" s="1363"/>
      <c r="P327" s="1364"/>
      <c r="Q327" s="1363"/>
      <c r="R327" s="1363"/>
      <c r="S327" s="1364"/>
      <c r="T327" s="1363"/>
      <c r="U327" s="91"/>
      <c r="V327" s="1406"/>
      <c r="W327" s="1434"/>
      <c r="X327" s="1406"/>
      <c r="Y327" s="668"/>
      <c r="Z327" s="1298"/>
      <c r="AA327" s="1298"/>
      <c r="AB327" s="1297"/>
    </row>
    <row r="328" spans="2:28" ht="15.75" customHeight="1" x14ac:dyDescent="0.3">
      <c r="B328" s="1853" t="s">
        <v>465</v>
      </c>
      <c r="C328" s="1854"/>
      <c r="D328" s="1854"/>
      <c r="E328" s="1854"/>
      <c r="F328" s="1854"/>
      <c r="G328" s="1854"/>
      <c r="H328" s="1854"/>
      <c r="I328" s="1854"/>
      <c r="J328" s="1854"/>
      <c r="K328" s="1418"/>
      <c r="L328" s="1399"/>
      <c r="M328" s="1400"/>
      <c r="N328" s="1401"/>
      <c r="O328" s="1363"/>
      <c r="P328" s="1364"/>
      <c r="Q328" s="1363"/>
      <c r="R328" s="1363"/>
      <c r="S328" s="1364"/>
      <c r="T328" s="1363"/>
      <c r="U328" s="91"/>
      <c r="V328" s="1406"/>
      <c r="W328" s="1434"/>
      <c r="X328" s="1406"/>
      <c r="Y328" s="668"/>
      <c r="Z328" s="1298"/>
      <c r="AA328" s="1298"/>
      <c r="AB328" s="1297"/>
    </row>
    <row r="329" spans="2:28" ht="15.75" customHeight="1" x14ac:dyDescent="0.3">
      <c r="B329" s="1853" t="s">
        <v>466</v>
      </c>
      <c r="C329" s="1854"/>
      <c r="D329" s="1854"/>
      <c r="E329" s="1854"/>
      <c r="F329" s="1854"/>
      <c r="G329" s="1854"/>
      <c r="H329" s="1854"/>
      <c r="I329" s="1854"/>
      <c r="J329" s="1854"/>
      <c r="K329" s="1418"/>
      <c r="L329" s="1399"/>
      <c r="M329" s="1400"/>
      <c r="N329" s="1401"/>
      <c r="O329" s="1363"/>
      <c r="P329" s="1364"/>
      <c r="Q329" s="1363"/>
      <c r="R329" s="1363"/>
      <c r="S329" s="1364"/>
      <c r="T329" s="1363"/>
      <c r="U329" s="91"/>
      <c r="V329" s="1406"/>
      <c r="W329" s="1434"/>
      <c r="X329" s="1406"/>
      <c r="Y329" s="668"/>
      <c r="Z329" s="1298"/>
      <c r="AA329" s="1298"/>
      <c r="AB329" s="1297"/>
    </row>
    <row r="330" spans="2:28" ht="15.75" customHeight="1" x14ac:dyDescent="0.3">
      <c r="B330" s="1846" t="s">
        <v>467</v>
      </c>
      <c r="C330" s="1847"/>
      <c r="D330" s="1847"/>
      <c r="E330" s="1847"/>
      <c r="F330" s="1847"/>
      <c r="G330" s="1847"/>
      <c r="H330" s="1847"/>
      <c r="I330" s="1847"/>
      <c r="J330" s="1847"/>
      <c r="K330" s="1418"/>
      <c r="L330" s="1399"/>
      <c r="M330" s="1400"/>
      <c r="N330" s="1401"/>
      <c r="O330" s="1363"/>
      <c r="P330" s="1364"/>
      <c r="Q330" s="1363"/>
      <c r="R330" s="1363"/>
      <c r="S330" s="1364"/>
      <c r="T330" s="1363"/>
      <c r="U330" s="91"/>
      <c r="V330" s="1406"/>
      <c r="W330" s="1434"/>
      <c r="X330" s="1406"/>
      <c r="Y330" s="668"/>
      <c r="Z330" s="1298"/>
      <c r="AA330" s="1298"/>
      <c r="AB330" s="1297"/>
    </row>
    <row r="331" spans="2:28" ht="13" x14ac:dyDescent="0.3">
      <c r="B331" s="1846" t="s">
        <v>468</v>
      </c>
      <c r="C331" s="1847"/>
      <c r="D331" s="1847"/>
      <c r="E331" s="1847"/>
      <c r="F331" s="1847"/>
      <c r="G331" s="1847"/>
      <c r="H331" s="1847"/>
      <c r="I331" s="1847"/>
      <c r="J331" s="1847"/>
      <c r="K331" s="1418"/>
      <c r="L331" s="1399"/>
      <c r="M331" s="1400"/>
      <c r="N331" s="1401"/>
      <c r="O331" s="1363"/>
      <c r="P331" s="1364"/>
      <c r="Q331" s="1363"/>
      <c r="R331" s="1363"/>
      <c r="S331" s="1364"/>
      <c r="T331" s="1363"/>
      <c r="U331" s="91"/>
      <c r="V331" s="1406"/>
      <c r="W331" s="1434"/>
      <c r="X331" s="1406"/>
      <c r="Y331" s="668"/>
      <c r="Z331" s="1298"/>
      <c r="AA331" s="1298"/>
      <c r="AB331" s="1297"/>
    </row>
    <row r="332" spans="2:28" ht="24.75" customHeight="1" x14ac:dyDescent="0.3">
      <c r="B332" s="1846" t="s">
        <v>469</v>
      </c>
      <c r="C332" s="1847"/>
      <c r="D332" s="1847"/>
      <c r="E332" s="1847"/>
      <c r="F332" s="1847"/>
      <c r="G332" s="1847"/>
      <c r="H332" s="1847"/>
      <c r="I332" s="1847"/>
      <c r="J332" s="1847"/>
      <c r="K332" s="1418"/>
      <c r="L332" s="1399"/>
      <c r="M332" s="1400"/>
      <c r="N332" s="1401"/>
      <c r="O332" s="1363"/>
      <c r="P332" s="1364"/>
      <c r="Q332" s="1363"/>
      <c r="R332" s="1363"/>
      <c r="S332" s="1364"/>
      <c r="T332" s="1363"/>
      <c r="U332" s="91"/>
      <c r="V332" s="1406"/>
      <c r="W332" s="1434"/>
      <c r="X332" s="1406"/>
      <c r="Y332" s="668"/>
      <c r="Z332" s="1298"/>
      <c r="AA332" s="1298"/>
      <c r="AB332" s="1297"/>
    </row>
    <row r="333" spans="2:28" ht="13" x14ac:dyDescent="0.3">
      <c r="B333" s="1846" t="s">
        <v>470</v>
      </c>
      <c r="C333" s="1847"/>
      <c r="D333" s="1847"/>
      <c r="E333" s="1847"/>
      <c r="F333" s="1847"/>
      <c r="G333" s="1847"/>
      <c r="H333" s="1847"/>
      <c r="I333" s="1847"/>
      <c r="J333" s="1847"/>
      <c r="K333" s="1418"/>
      <c r="L333" s="1399"/>
      <c r="M333" s="1400"/>
      <c r="N333" s="1401"/>
      <c r="O333" s="1363"/>
      <c r="P333" s="1364"/>
      <c r="Q333" s="1363"/>
      <c r="R333" s="1363"/>
      <c r="S333" s="1364"/>
      <c r="T333" s="1363"/>
      <c r="U333" s="91"/>
      <c r="V333" s="1406"/>
      <c r="W333" s="1434"/>
      <c r="X333" s="1406"/>
      <c r="Y333" s="668"/>
      <c r="Z333" s="1298"/>
      <c r="AA333" s="1298"/>
      <c r="AB333" s="1297"/>
    </row>
    <row r="334" spans="2:28" ht="28.5" customHeight="1" x14ac:dyDescent="0.3">
      <c r="B334" s="1846" t="s">
        <v>471</v>
      </c>
      <c r="C334" s="1847"/>
      <c r="D334" s="1847"/>
      <c r="E334" s="1847"/>
      <c r="F334" s="1847"/>
      <c r="G334" s="1847"/>
      <c r="H334" s="1847"/>
      <c r="I334" s="1847"/>
      <c r="J334" s="1847"/>
      <c r="K334" s="1418"/>
      <c r="L334" s="1399"/>
      <c r="M334" s="1400"/>
      <c r="N334" s="1401"/>
      <c r="O334" s="1363"/>
      <c r="P334" s="1364"/>
      <c r="Q334" s="1363"/>
      <c r="R334" s="1363"/>
      <c r="S334" s="1364"/>
      <c r="T334" s="1363"/>
      <c r="U334" s="91"/>
      <c r="V334" s="1406"/>
      <c r="W334" s="1434"/>
      <c r="X334" s="1406"/>
      <c r="Y334" s="668"/>
      <c r="Z334" s="1298"/>
      <c r="AA334" s="1298"/>
      <c r="AB334" s="1297"/>
    </row>
    <row r="335" spans="2:28" ht="13" x14ac:dyDescent="0.3">
      <c r="B335" s="1846" t="s">
        <v>472</v>
      </c>
      <c r="C335" s="1847"/>
      <c r="D335" s="1847"/>
      <c r="E335" s="1847"/>
      <c r="F335" s="1847"/>
      <c r="G335" s="1847"/>
      <c r="H335" s="1847"/>
      <c r="I335" s="1847"/>
      <c r="J335" s="1847"/>
      <c r="K335" s="1418"/>
      <c r="L335" s="1399"/>
      <c r="M335" s="1400"/>
      <c r="N335" s="1401"/>
      <c r="O335" s="1363"/>
      <c r="P335" s="1364"/>
      <c r="Q335" s="1363"/>
      <c r="R335" s="1363"/>
      <c r="S335" s="1364"/>
      <c r="T335" s="1363"/>
      <c r="U335" s="91"/>
      <c r="V335" s="1406"/>
      <c r="W335" s="1434"/>
      <c r="X335" s="1406"/>
      <c r="Y335" s="668"/>
      <c r="Z335" s="1298"/>
      <c r="AA335" s="1298"/>
      <c r="AB335" s="1297"/>
    </row>
    <row r="336" spans="2:28" ht="13" x14ac:dyDescent="0.3">
      <c r="B336" s="1846" t="s">
        <v>473</v>
      </c>
      <c r="C336" s="1847"/>
      <c r="D336" s="1847"/>
      <c r="E336" s="1847"/>
      <c r="F336" s="1847"/>
      <c r="G336" s="1847"/>
      <c r="H336" s="1847"/>
      <c r="I336" s="1847"/>
      <c r="J336" s="1847"/>
      <c r="K336" s="1418"/>
      <c r="L336" s="1399"/>
      <c r="M336" s="1400"/>
      <c r="N336" s="1401"/>
      <c r="O336" s="1363"/>
      <c r="P336" s="1364"/>
      <c r="Q336" s="1363"/>
      <c r="R336" s="1363"/>
      <c r="S336" s="1364"/>
      <c r="T336" s="1363"/>
      <c r="U336" s="91"/>
      <c r="V336" s="1406"/>
      <c r="W336" s="1434"/>
      <c r="X336" s="1406"/>
      <c r="Y336" s="668"/>
      <c r="Z336" s="1298"/>
      <c r="AA336" s="1298"/>
      <c r="AB336" s="1297"/>
    </row>
    <row r="337" spans="2:33" ht="27.75" customHeight="1" x14ac:dyDescent="0.3">
      <c r="B337" s="1846" t="s">
        <v>474</v>
      </c>
      <c r="C337" s="1847"/>
      <c r="D337" s="1847"/>
      <c r="E337" s="1847"/>
      <c r="F337" s="1847"/>
      <c r="G337" s="1847"/>
      <c r="H337" s="1847"/>
      <c r="I337" s="1847"/>
      <c r="J337" s="1847"/>
      <c r="K337" s="1418"/>
      <c r="L337" s="1399"/>
      <c r="M337" s="1400"/>
      <c r="N337" s="1401"/>
      <c r="O337" s="1363"/>
      <c r="P337" s="1364"/>
      <c r="Q337" s="1363"/>
      <c r="R337" s="1363"/>
      <c r="S337" s="1364"/>
      <c r="T337" s="1363"/>
      <c r="U337" s="91"/>
      <c r="V337" s="1406"/>
      <c r="W337" s="1434"/>
      <c r="X337" s="1406"/>
      <c r="Y337" s="668"/>
      <c r="Z337" s="1298"/>
      <c r="AA337" s="1298"/>
      <c r="AB337" s="1297"/>
    </row>
    <row r="338" spans="2:33" ht="13" x14ac:dyDescent="0.3">
      <c r="B338" s="1846" t="s">
        <v>479</v>
      </c>
      <c r="C338" s="1847"/>
      <c r="D338" s="1847"/>
      <c r="E338" s="1847"/>
      <c r="F338" s="1847"/>
      <c r="G338" s="1847"/>
      <c r="H338" s="1847"/>
      <c r="I338" s="1847"/>
      <c r="J338" s="1847"/>
      <c r="K338" s="1418"/>
      <c r="L338" s="1399"/>
      <c r="M338" s="1400"/>
      <c r="N338" s="1401"/>
      <c r="O338" s="1363"/>
      <c r="P338" s="1364"/>
      <c r="Q338" s="1363"/>
      <c r="R338" s="1363"/>
      <c r="S338" s="1364"/>
      <c r="T338" s="1363"/>
      <c r="U338" s="91"/>
      <c r="V338" s="1406"/>
      <c r="W338" s="1434"/>
      <c r="X338" s="1406"/>
      <c r="Y338" s="668"/>
      <c r="Z338" s="1298"/>
      <c r="AA338" s="1298"/>
      <c r="AB338" s="1297"/>
    </row>
    <row r="339" spans="2:33" ht="13" x14ac:dyDescent="0.3">
      <c r="B339" s="1846" t="s">
        <v>480</v>
      </c>
      <c r="C339" s="1847"/>
      <c r="D339" s="1847"/>
      <c r="E339" s="1847"/>
      <c r="F339" s="1847"/>
      <c r="G339" s="1847"/>
      <c r="H339" s="1847"/>
      <c r="I339" s="1847"/>
      <c r="J339" s="1847"/>
      <c r="K339" s="1418"/>
      <c r="L339" s="1399"/>
      <c r="M339" s="1400"/>
      <c r="N339" s="1401"/>
      <c r="O339" s="1363"/>
      <c r="P339" s="1364"/>
      <c r="Q339" s="1363"/>
      <c r="R339" s="1363"/>
      <c r="S339" s="1364"/>
      <c r="T339" s="1363"/>
      <c r="U339" s="91"/>
      <c r="V339" s="1406"/>
      <c r="W339" s="1434"/>
      <c r="X339" s="1406"/>
      <c r="Y339" s="668"/>
      <c r="Z339" s="1298"/>
      <c r="AA339" s="1298"/>
      <c r="AB339" s="1297"/>
    </row>
    <row r="340" spans="2:33" ht="13" x14ac:dyDescent="0.3">
      <c r="B340" s="1846" t="s">
        <v>481</v>
      </c>
      <c r="C340" s="1847"/>
      <c r="D340" s="1847"/>
      <c r="E340" s="1847"/>
      <c r="F340" s="1847"/>
      <c r="G340" s="1847"/>
      <c r="H340" s="1847"/>
      <c r="I340" s="1847"/>
      <c r="J340" s="1847"/>
      <c r="K340" s="1418"/>
      <c r="L340" s="1399"/>
      <c r="M340" s="1400"/>
      <c r="N340" s="1401"/>
      <c r="O340" s="1363"/>
      <c r="P340" s="1364"/>
      <c r="Q340" s="1363"/>
      <c r="R340" s="1363"/>
      <c r="S340" s="1364"/>
      <c r="T340" s="1363"/>
      <c r="U340" s="91"/>
      <c r="V340" s="1406"/>
      <c r="W340" s="1434"/>
      <c r="X340" s="1406"/>
      <c r="Y340" s="668"/>
      <c r="Z340" s="1298"/>
      <c r="AA340" s="1298"/>
      <c r="AB340" s="1297"/>
    </row>
    <row r="341" spans="2:33" ht="13" x14ac:dyDescent="0.3">
      <c r="B341" s="1846" t="s">
        <v>482</v>
      </c>
      <c r="C341" s="1847"/>
      <c r="D341" s="1847"/>
      <c r="E341" s="1847"/>
      <c r="F341" s="1847"/>
      <c r="G341" s="1847"/>
      <c r="H341" s="1847"/>
      <c r="I341" s="1847"/>
      <c r="J341" s="1847"/>
      <c r="K341" s="1418"/>
      <c r="L341" s="1399"/>
      <c r="M341" s="1400"/>
      <c r="N341" s="1401"/>
      <c r="O341" s="1363"/>
      <c r="P341" s="1364"/>
      <c r="Q341" s="1363"/>
      <c r="R341" s="1363"/>
      <c r="S341" s="1364"/>
      <c r="T341" s="1363"/>
      <c r="U341" s="91"/>
      <c r="V341" s="1406"/>
      <c r="W341" s="1434"/>
      <c r="X341" s="1406"/>
      <c r="Y341" s="668"/>
      <c r="Z341" s="1298"/>
      <c r="AA341" s="1298"/>
      <c r="AB341" s="1297"/>
    </row>
    <row r="342" spans="2:33" ht="31.5" customHeight="1" x14ac:dyDescent="0.3">
      <c r="B342" s="1848" t="s">
        <v>483</v>
      </c>
      <c r="C342" s="1849"/>
      <c r="D342" s="1849"/>
      <c r="E342" s="1849"/>
      <c r="F342" s="1849"/>
      <c r="G342" s="1849"/>
      <c r="H342" s="1849"/>
      <c r="I342" s="1849"/>
      <c r="J342" s="1849"/>
      <c r="K342" s="1418"/>
      <c r="L342" s="1410"/>
      <c r="M342" s="1411"/>
      <c r="N342" s="1312"/>
      <c r="O342" s="1368"/>
      <c r="P342" s="1369"/>
      <c r="Q342" s="1368"/>
      <c r="R342" s="1368"/>
      <c r="S342" s="1369"/>
      <c r="T342" s="1368"/>
      <c r="U342" s="91"/>
      <c r="V342" s="1436"/>
      <c r="W342" s="1437"/>
      <c r="X342" s="1436"/>
      <c r="Y342" s="668"/>
      <c r="Z342" s="1298"/>
      <c r="AA342" s="1298"/>
      <c r="AB342" s="1297"/>
    </row>
    <row r="343" spans="2:33" ht="13" x14ac:dyDescent="0.3">
      <c r="B343" s="1935" t="s">
        <v>484</v>
      </c>
      <c r="C343" s="1936"/>
      <c r="D343" s="1936"/>
      <c r="E343" s="1936"/>
      <c r="F343" s="1936"/>
      <c r="G343" s="1936"/>
      <c r="H343" s="1936"/>
      <c r="I343" s="1936"/>
      <c r="J343" s="1937"/>
      <c r="K343" s="1438"/>
      <c r="L343" s="1439"/>
      <c r="M343" s="1439"/>
      <c r="N343" s="1439"/>
      <c r="O343" s="1370"/>
      <c r="P343" s="1370"/>
      <c r="Q343" s="1370"/>
      <c r="R343" s="1370"/>
      <c r="S343" s="1370"/>
      <c r="T343" s="1370"/>
      <c r="U343" s="1438"/>
      <c r="V343" s="1436"/>
      <c r="W343" s="1437"/>
      <c r="X343" s="1436"/>
      <c r="Y343" s="668"/>
      <c r="Z343" s="1298"/>
      <c r="AA343" s="1298"/>
      <c r="AB343" s="1297"/>
    </row>
    <row r="344" spans="2:33" ht="13" x14ac:dyDescent="0.3">
      <c r="B344" s="1938" t="s">
        <v>478</v>
      </c>
      <c r="C344" s="1939"/>
      <c r="D344" s="1939"/>
      <c r="E344" s="1939"/>
      <c r="F344" s="1939"/>
      <c r="G344" s="1939"/>
      <c r="H344" s="1939"/>
      <c r="I344" s="1939"/>
      <c r="J344" s="1940"/>
      <c r="K344" s="1440"/>
      <c r="L344" s="1441"/>
      <c r="M344" s="1441"/>
      <c r="N344" s="1441"/>
      <c r="O344" s="1371"/>
      <c r="P344" s="1371"/>
      <c r="Q344" s="1371"/>
      <c r="R344" s="1371"/>
      <c r="S344" s="1371"/>
      <c r="T344" s="1371"/>
      <c r="U344" s="1440"/>
      <c r="V344" s="1442"/>
      <c r="W344" s="1432"/>
      <c r="X344" s="1442"/>
      <c r="Y344" s="668"/>
      <c r="Z344" s="1298"/>
      <c r="AA344" s="1298"/>
      <c r="AB344" s="1297"/>
    </row>
    <row r="345" spans="2:33" ht="13" x14ac:dyDescent="0.3">
      <c r="B345" s="1941" t="s">
        <v>485</v>
      </c>
      <c r="C345" s="1942"/>
      <c r="D345" s="1942"/>
      <c r="E345" s="1942"/>
      <c r="F345" s="1942"/>
      <c r="G345" s="1942"/>
      <c r="H345" s="1942"/>
      <c r="I345" s="1942"/>
      <c r="J345" s="1942"/>
      <c r="K345" s="1418"/>
      <c r="L345" s="1419"/>
      <c r="M345" s="1420"/>
      <c r="N345" s="1421"/>
      <c r="O345" s="1360"/>
      <c r="P345" s="1359"/>
      <c r="Q345" s="1360"/>
      <c r="R345" s="1360"/>
      <c r="S345" s="1359"/>
      <c r="T345" s="1360"/>
      <c r="U345" s="91"/>
      <c r="V345" s="1442"/>
      <c r="W345" s="1432"/>
      <c r="X345" s="1442"/>
      <c r="Y345" s="668"/>
      <c r="Z345" s="1298"/>
      <c r="AA345" s="1298"/>
      <c r="AB345" s="1297"/>
    </row>
    <row r="346" spans="2:33" ht="29.25" customHeight="1" x14ac:dyDescent="0.3">
      <c r="B346" s="1846" t="s">
        <v>486</v>
      </c>
      <c r="C346" s="1847"/>
      <c r="D346" s="1847"/>
      <c r="E346" s="1847"/>
      <c r="F346" s="1847"/>
      <c r="G346" s="1847"/>
      <c r="H346" s="1847"/>
      <c r="I346" s="1847"/>
      <c r="J346" s="1847"/>
      <c r="K346" s="1418"/>
      <c r="L346" s="1399"/>
      <c r="M346" s="1400"/>
      <c r="N346" s="1401"/>
      <c r="O346" s="1363"/>
      <c r="P346" s="1364"/>
      <c r="Q346" s="1363"/>
      <c r="R346" s="1363"/>
      <c r="S346" s="1364"/>
      <c r="T346" s="1363"/>
      <c r="U346" s="91"/>
      <c r="V346" s="1406"/>
      <c r="W346" s="1434"/>
      <c r="X346" s="1406"/>
      <c r="Y346" s="668"/>
      <c r="Z346" s="1298"/>
      <c r="AA346" s="1298"/>
      <c r="AB346" s="1297"/>
    </row>
    <row r="347" spans="2:33" ht="15.75" customHeight="1" thickBot="1" x14ac:dyDescent="0.35">
      <c r="B347" s="1943" t="s">
        <v>487</v>
      </c>
      <c r="C347" s="1944"/>
      <c r="D347" s="1944"/>
      <c r="E347" s="1944"/>
      <c r="F347" s="1944"/>
      <c r="G347" s="1944"/>
      <c r="H347" s="1944"/>
      <c r="I347" s="1944"/>
      <c r="J347" s="1945"/>
      <c r="K347" s="1418"/>
      <c r="L347" s="1410"/>
      <c r="M347" s="1411"/>
      <c r="N347" s="1312"/>
      <c r="O347" s="1368"/>
      <c r="P347" s="1369"/>
      <c r="Q347" s="1368"/>
      <c r="R347" s="1368"/>
      <c r="S347" s="1369"/>
      <c r="T347" s="1368"/>
      <c r="U347" s="91"/>
      <c r="V347" s="1436"/>
      <c r="W347" s="1437"/>
      <c r="X347" s="1436"/>
      <c r="Y347" s="668"/>
      <c r="Z347" s="1592"/>
      <c r="AA347" s="1592"/>
      <c r="AB347" s="1591"/>
    </row>
    <row r="348" spans="2:33" ht="13.5" customHeight="1" thickBot="1" x14ac:dyDescent="0.35">
      <c r="B348" s="1850" t="s">
        <v>600</v>
      </c>
      <c r="C348" s="1851"/>
      <c r="D348" s="1851"/>
      <c r="E348" s="1851"/>
      <c r="F348" s="1851"/>
      <c r="G348" s="1851"/>
      <c r="H348" s="1851"/>
      <c r="I348" s="1851"/>
      <c r="J348" s="1852"/>
      <c r="K348" s="1424"/>
      <c r="L348" s="1425" t="e">
        <f>M348+N348</f>
        <v>#REF!</v>
      </c>
      <c r="M348" s="1426" t="e">
        <f>#REF!+#REF!+M358</f>
        <v>#REF!</v>
      </c>
      <c r="N348" s="1427" t="e">
        <f>#REF!+#REF!+N358</f>
        <v>#REF!</v>
      </c>
      <c r="O348" s="1372" t="e">
        <f>P348+Q348</f>
        <v>#REF!</v>
      </c>
      <c r="P348" s="1373">
        <v>48790</v>
      </c>
      <c r="Q348" s="1372" t="e">
        <f>#REF!+#REF!+Q358</f>
        <v>#REF!</v>
      </c>
      <c r="R348" s="1372" t="e">
        <f>S348+T348</f>
        <v>#REF!</v>
      </c>
      <c r="S348" s="1373">
        <v>58548</v>
      </c>
      <c r="T348" s="1372" t="e">
        <f>#REF!+#REF!+T358</f>
        <v>#REF!</v>
      </c>
      <c r="U348" s="1428" t="s">
        <v>222</v>
      </c>
      <c r="V348" s="1597">
        <f>W348+X348</f>
        <v>600000</v>
      </c>
      <c r="W348" s="1596">
        <v>300000</v>
      </c>
      <c r="X348" s="1596">
        <v>300000</v>
      </c>
      <c r="Y348" s="668"/>
      <c r="Z348" s="1075"/>
      <c r="AA348" s="1083"/>
    </row>
    <row r="349" spans="2:33" ht="16" thickBot="1" x14ac:dyDescent="0.4">
      <c r="B349" s="1444" t="s">
        <v>488</v>
      </c>
      <c r="C349" s="1445"/>
      <c r="D349" s="1445"/>
      <c r="E349" s="1445"/>
      <c r="F349" s="1445"/>
      <c r="G349" s="1445"/>
      <c r="H349" s="1316"/>
      <c r="I349" s="1316"/>
      <c r="J349" s="1316"/>
      <c r="K349" s="1413"/>
      <c r="L349" s="1414">
        <v>0</v>
      </c>
      <c r="M349" s="1381">
        <v>0</v>
      </c>
      <c r="N349" s="1382">
        <v>0</v>
      </c>
      <c r="O349" s="1382">
        <v>0</v>
      </c>
      <c r="P349" s="1381">
        <v>0</v>
      </c>
      <c r="Q349" s="1382">
        <v>0</v>
      </c>
      <c r="R349" s="1382">
        <v>0</v>
      </c>
      <c r="S349" s="1381">
        <v>0</v>
      </c>
      <c r="T349" s="1382">
        <v>0</v>
      </c>
      <c r="U349" s="1316"/>
      <c r="V349" s="1613">
        <f>W349+X349</f>
        <v>400000</v>
      </c>
      <c r="W349" s="1614">
        <v>200000</v>
      </c>
      <c r="X349" s="1614">
        <v>200000</v>
      </c>
      <c r="Y349" s="665"/>
      <c r="Z349" s="1166"/>
      <c r="AA349" s="1166"/>
    </row>
    <row r="350" spans="2:33" ht="15.75" customHeight="1" x14ac:dyDescent="0.3">
      <c r="B350" s="1856" t="s">
        <v>490</v>
      </c>
      <c r="C350" s="1857"/>
      <c r="D350" s="1857"/>
      <c r="E350" s="1857"/>
      <c r="F350" s="1857"/>
      <c r="G350" s="1857"/>
      <c r="H350" s="1857"/>
      <c r="I350" s="1857"/>
      <c r="J350" s="1857"/>
      <c r="K350" s="1403"/>
      <c r="L350" s="1446"/>
      <c r="M350" s="1447"/>
      <c r="N350" s="1448"/>
      <c r="O350" s="1448"/>
      <c r="P350" s="1447"/>
      <c r="Q350" s="1448"/>
      <c r="R350" s="1448"/>
      <c r="S350" s="1447"/>
      <c r="T350" s="1448"/>
      <c r="U350" s="90"/>
      <c r="V350" s="1615"/>
      <c r="W350" s="1616"/>
      <c r="X350" s="1616"/>
      <c r="Y350" s="665"/>
      <c r="Z350" s="321"/>
      <c r="AA350" s="842"/>
      <c r="AB350" s="842"/>
      <c r="AC350" s="838"/>
      <c r="AD350" s="838"/>
      <c r="AE350" s="838"/>
      <c r="AF350" s="838"/>
      <c r="AG350" s="838"/>
    </row>
    <row r="351" spans="2:33" ht="15.75" customHeight="1" x14ac:dyDescent="0.3">
      <c r="B351" s="1853" t="s">
        <v>491</v>
      </c>
      <c r="C351" s="1854"/>
      <c r="D351" s="1854"/>
      <c r="E351" s="1854"/>
      <c r="F351" s="1854"/>
      <c r="G351" s="1854"/>
      <c r="H351" s="1854"/>
      <c r="I351" s="1854"/>
      <c r="J351" s="1854"/>
      <c r="K351" s="1418"/>
      <c r="L351" s="1399"/>
      <c r="M351" s="1400"/>
      <c r="N351" s="1401"/>
      <c r="O351" s="1401"/>
      <c r="P351" s="1400"/>
      <c r="Q351" s="1401"/>
      <c r="R351" s="1401"/>
      <c r="S351" s="1400"/>
      <c r="T351" s="1401"/>
      <c r="U351" s="91"/>
      <c r="V351" s="1617"/>
      <c r="W351" s="1618"/>
      <c r="X351" s="1618"/>
      <c r="Y351" s="665"/>
      <c r="Z351" s="321"/>
      <c r="AA351" s="842"/>
      <c r="AB351" s="842"/>
      <c r="AC351" s="838"/>
      <c r="AD351" s="838"/>
      <c r="AE351" s="838"/>
      <c r="AF351" s="838"/>
      <c r="AG351" s="838"/>
    </row>
    <row r="352" spans="2:33" ht="15.75" customHeight="1" x14ac:dyDescent="0.3">
      <c r="B352" s="1853" t="s">
        <v>492</v>
      </c>
      <c r="C352" s="1854"/>
      <c r="D352" s="1854"/>
      <c r="E352" s="1854"/>
      <c r="F352" s="1854"/>
      <c r="G352" s="1854"/>
      <c r="H352" s="1854"/>
      <c r="I352" s="1854"/>
      <c r="J352" s="1854"/>
      <c r="K352" s="1418"/>
      <c r="L352" s="1399"/>
      <c r="M352" s="1400"/>
      <c r="N352" s="1401"/>
      <c r="O352" s="1401"/>
      <c r="P352" s="1400"/>
      <c r="Q352" s="1401"/>
      <c r="R352" s="1401"/>
      <c r="S352" s="1400"/>
      <c r="T352" s="1401"/>
      <c r="U352" s="91"/>
      <c r="V352" s="1617"/>
      <c r="W352" s="1618"/>
      <c r="X352" s="1618"/>
      <c r="Y352" s="665"/>
      <c r="Z352" s="321"/>
      <c r="AA352" s="842"/>
      <c r="AB352" s="842"/>
      <c r="AC352" s="838"/>
      <c r="AD352" s="838"/>
      <c r="AE352" s="838"/>
      <c r="AF352" s="838"/>
      <c r="AG352" s="838"/>
    </row>
    <row r="353" spans="2:33" ht="15.75" customHeight="1" x14ac:dyDescent="0.3">
      <c r="B353" s="1853" t="s">
        <v>493</v>
      </c>
      <c r="C353" s="1854"/>
      <c r="D353" s="1854"/>
      <c r="E353" s="1854"/>
      <c r="F353" s="1854"/>
      <c r="G353" s="1854"/>
      <c r="H353" s="1854"/>
      <c r="I353" s="1854"/>
      <c r="J353" s="1854"/>
      <c r="K353" s="1418"/>
      <c r="L353" s="1399"/>
      <c r="M353" s="1400"/>
      <c r="N353" s="1401"/>
      <c r="O353" s="1401"/>
      <c r="P353" s="1400"/>
      <c r="Q353" s="1401"/>
      <c r="R353" s="1401"/>
      <c r="S353" s="1400"/>
      <c r="T353" s="1401"/>
      <c r="U353" s="91"/>
      <c r="V353" s="1617"/>
      <c r="W353" s="1618"/>
      <c r="X353" s="1618"/>
      <c r="Y353" s="665"/>
      <c r="Z353" s="321"/>
      <c r="AA353" s="842"/>
      <c r="AB353" s="842"/>
      <c r="AC353" s="838"/>
      <c r="AD353" s="838"/>
      <c r="AE353" s="838"/>
      <c r="AF353" s="838"/>
      <c r="AG353" s="838"/>
    </row>
    <row r="354" spans="2:33" ht="24" customHeight="1" x14ac:dyDescent="0.3">
      <c r="B354" s="1853" t="s">
        <v>494</v>
      </c>
      <c r="C354" s="1854"/>
      <c r="D354" s="1854"/>
      <c r="E354" s="1854"/>
      <c r="F354" s="1854"/>
      <c r="G354" s="1854"/>
      <c r="H354" s="1854"/>
      <c r="I354" s="1854"/>
      <c r="J354" s="1854"/>
      <c r="K354" s="1418"/>
      <c r="L354" s="1399"/>
      <c r="M354" s="1400"/>
      <c r="N354" s="1401"/>
      <c r="O354" s="1401"/>
      <c r="P354" s="1400"/>
      <c r="Q354" s="1401"/>
      <c r="R354" s="1401"/>
      <c r="S354" s="1400"/>
      <c r="T354" s="1401"/>
      <c r="U354" s="91"/>
      <c r="V354" s="1617"/>
      <c r="W354" s="1618"/>
      <c r="X354" s="1618"/>
      <c r="Y354" s="665"/>
      <c r="Z354" s="321"/>
      <c r="AA354" s="842"/>
      <c r="AB354" s="842"/>
      <c r="AC354" s="838"/>
      <c r="AD354" s="838"/>
      <c r="AE354" s="838"/>
      <c r="AF354" s="838"/>
      <c r="AG354" s="838"/>
    </row>
    <row r="355" spans="2:33" ht="15.75" customHeight="1" x14ac:dyDescent="0.3">
      <c r="B355" s="1853" t="s">
        <v>495</v>
      </c>
      <c r="C355" s="1854"/>
      <c r="D355" s="1854"/>
      <c r="E355" s="1854"/>
      <c r="F355" s="1854"/>
      <c r="G355" s="1854"/>
      <c r="H355" s="1854"/>
      <c r="I355" s="1854"/>
      <c r="J355" s="1854"/>
      <c r="K355" s="1418"/>
      <c r="L355" s="1399"/>
      <c r="M355" s="1400"/>
      <c r="N355" s="1401"/>
      <c r="O355" s="1401"/>
      <c r="P355" s="1400"/>
      <c r="Q355" s="1401"/>
      <c r="R355" s="1401"/>
      <c r="S355" s="1400"/>
      <c r="T355" s="1401"/>
      <c r="U355" s="91"/>
      <c r="V355" s="1617"/>
      <c r="W355" s="1618"/>
      <c r="X355" s="1618"/>
      <c r="Y355" s="665"/>
      <c r="Z355" s="321"/>
      <c r="AA355" s="842"/>
      <c r="AB355" s="842"/>
      <c r="AC355" s="838"/>
      <c r="AD355" s="838"/>
      <c r="AE355" s="838"/>
      <c r="AF355" s="838"/>
      <c r="AG355" s="838"/>
    </row>
    <row r="356" spans="2:33" ht="15.75" customHeight="1" x14ac:dyDescent="0.3">
      <c r="B356" s="1853" t="s">
        <v>496</v>
      </c>
      <c r="C356" s="1854"/>
      <c r="D356" s="1854"/>
      <c r="E356" s="1854"/>
      <c r="F356" s="1854"/>
      <c r="G356" s="1854"/>
      <c r="H356" s="1854"/>
      <c r="I356" s="1854"/>
      <c r="J356" s="1854"/>
      <c r="K356" s="1418"/>
      <c r="L356" s="1399"/>
      <c r="M356" s="1400"/>
      <c r="N356" s="1401"/>
      <c r="O356" s="1401"/>
      <c r="P356" s="1400"/>
      <c r="Q356" s="1401"/>
      <c r="R356" s="1401"/>
      <c r="S356" s="1400"/>
      <c r="T356" s="1401"/>
      <c r="U356" s="91"/>
      <c r="V356" s="1617"/>
      <c r="W356" s="1618"/>
      <c r="X356" s="1618"/>
      <c r="Y356" s="665"/>
      <c r="Z356" s="321"/>
      <c r="AA356" s="842"/>
      <c r="AB356" s="842"/>
      <c r="AC356" s="838"/>
      <c r="AD356" s="838"/>
      <c r="AE356" s="838"/>
      <c r="AF356" s="838"/>
      <c r="AG356" s="838"/>
    </row>
    <row r="357" spans="2:33" ht="15.75" customHeight="1" thickBot="1" x14ac:dyDescent="0.35">
      <c r="B357" s="1895" t="s">
        <v>497</v>
      </c>
      <c r="C357" s="1896"/>
      <c r="D357" s="1896"/>
      <c r="E357" s="1896"/>
      <c r="F357" s="1896"/>
      <c r="G357" s="1896"/>
      <c r="H357" s="1896"/>
      <c r="I357" s="1896"/>
      <c r="J357" s="1896"/>
      <c r="K357" s="1424"/>
      <c r="L357" s="1425"/>
      <c r="M357" s="1426"/>
      <c r="N357" s="1427"/>
      <c r="O357" s="1427"/>
      <c r="P357" s="1426"/>
      <c r="Q357" s="1427"/>
      <c r="R357" s="1427"/>
      <c r="S357" s="1426"/>
      <c r="T357" s="1427"/>
      <c r="U357" s="1428"/>
      <c r="V357" s="1619"/>
      <c r="W357" s="1620"/>
      <c r="X357" s="1620"/>
      <c r="Y357" s="665"/>
      <c r="Z357" s="321"/>
      <c r="AA357" s="842"/>
      <c r="AB357" s="842"/>
      <c r="AC357" s="838"/>
      <c r="AD357" s="838"/>
      <c r="AE357" s="838"/>
      <c r="AF357" s="838"/>
      <c r="AG357" s="838"/>
    </row>
    <row r="358" spans="2:33" ht="29.25" customHeight="1" thickBot="1" x14ac:dyDescent="0.4">
      <c r="B358" s="1899" t="s">
        <v>489</v>
      </c>
      <c r="C358" s="1900"/>
      <c r="D358" s="1900"/>
      <c r="E358" s="1900"/>
      <c r="F358" s="1900"/>
      <c r="G358" s="1900"/>
      <c r="H358" s="1900"/>
      <c r="I358" s="1900"/>
      <c r="J358" s="1901"/>
      <c r="K358" s="1450"/>
      <c r="L358" s="1311">
        <v>0</v>
      </c>
      <c r="M358" s="1451">
        <v>0</v>
      </c>
      <c r="N358" s="1452">
        <v>0</v>
      </c>
      <c r="O358" s="1452">
        <v>0</v>
      </c>
      <c r="P358" s="1451">
        <v>0</v>
      </c>
      <c r="Q358" s="1452">
        <v>0</v>
      </c>
      <c r="R358" s="1452">
        <v>0</v>
      </c>
      <c r="S358" s="1451">
        <v>0</v>
      </c>
      <c r="T358" s="1452">
        <v>0</v>
      </c>
      <c r="U358" s="84"/>
      <c r="V358" s="1633">
        <f>W358+X358</f>
        <v>200000</v>
      </c>
      <c r="W358" s="1634">
        <v>100000</v>
      </c>
      <c r="X358" s="1634">
        <v>100000</v>
      </c>
      <c r="Y358" s="665"/>
    </row>
    <row r="359" spans="2:33" ht="15.5" x14ac:dyDescent="0.35">
      <c r="B359" s="1453" t="s">
        <v>226</v>
      </c>
      <c r="C359" s="1454"/>
      <c r="D359" s="1454"/>
      <c r="E359" s="1454"/>
      <c r="F359" s="1454"/>
      <c r="G359" s="1454"/>
      <c r="H359" s="1454"/>
      <c r="I359" s="81"/>
      <c r="J359" s="1455"/>
      <c r="K359" s="1456"/>
      <c r="L359" s="1446"/>
      <c r="M359" s="1447"/>
      <c r="N359" s="1448"/>
      <c r="O359" s="1448"/>
      <c r="P359" s="1447"/>
      <c r="Q359" s="1448"/>
      <c r="R359" s="1448"/>
      <c r="S359" s="1447"/>
      <c r="T359" s="1448"/>
      <c r="U359" s="90"/>
      <c r="V359" s="1609">
        <f>W359+X359</f>
        <v>0</v>
      </c>
      <c r="W359" s="1635">
        <v>0</v>
      </c>
      <c r="X359" s="1635">
        <v>0</v>
      </c>
      <c r="Y359" s="665"/>
    </row>
    <row r="360" spans="2:33" ht="15.75" customHeight="1" x14ac:dyDescent="0.3">
      <c r="B360" s="1853" t="s">
        <v>498</v>
      </c>
      <c r="C360" s="1854"/>
      <c r="D360" s="1854"/>
      <c r="E360" s="1854"/>
      <c r="F360" s="1854"/>
      <c r="G360" s="1854"/>
      <c r="H360" s="1854"/>
      <c r="I360" s="1854"/>
      <c r="J360" s="1854"/>
      <c r="K360" s="1418"/>
      <c r="L360" s="1399"/>
      <c r="M360" s="1400"/>
      <c r="N360" s="1401"/>
      <c r="O360" s="1363"/>
      <c r="P360" s="1364"/>
      <c r="Q360" s="1363"/>
      <c r="R360" s="1363"/>
      <c r="S360" s="1364"/>
      <c r="T360" s="1363"/>
      <c r="U360" s="91"/>
      <c r="V360" s="1412"/>
      <c r="W360" s="1409"/>
      <c r="X360" s="1409"/>
      <c r="Y360" s="665"/>
      <c r="Z360" s="1081"/>
      <c r="AA360" s="593"/>
    </row>
    <row r="361" spans="2:33" ht="13" customHeight="1" x14ac:dyDescent="0.3">
      <c r="B361" s="1853" t="s">
        <v>499</v>
      </c>
      <c r="C361" s="1854"/>
      <c r="D361" s="1854"/>
      <c r="E361" s="1854"/>
      <c r="F361" s="1854"/>
      <c r="G361" s="1854"/>
      <c r="H361" s="1854"/>
      <c r="I361" s="1854"/>
      <c r="J361" s="1854"/>
      <c r="K361" s="1418"/>
      <c r="L361" s="1410"/>
      <c r="M361" s="1411"/>
      <c r="N361" s="1312"/>
      <c r="O361" s="1368"/>
      <c r="P361" s="1369"/>
      <c r="Q361" s="1368"/>
      <c r="R361" s="1368"/>
      <c r="S361" s="1369"/>
      <c r="T361" s="1368"/>
      <c r="U361" s="91"/>
      <c r="V361" s="1412"/>
      <c r="W361" s="1409"/>
      <c r="X361" s="1409"/>
      <c r="Y361" s="665"/>
      <c r="Z361" s="1081"/>
      <c r="AA361" s="593"/>
    </row>
    <row r="362" spans="2:33" ht="13" customHeight="1" x14ac:dyDescent="0.3">
      <c r="B362" s="1915" t="s">
        <v>500</v>
      </c>
      <c r="C362" s="1916"/>
      <c r="D362" s="1916"/>
      <c r="E362" s="1916"/>
      <c r="F362" s="1916"/>
      <c r="G362" s="1916"/>
      <c r="H362" s="1916"/>
      <c r="I362" s="1916"/>
      <c r="J362" s="1916"/>
      <c r="K362" s="1409"/>
      <c r="L362" s="1399"/>
      <c r="M362" s="1400"/>
      <c r="N362" s="1401"/>
      <c r="O362" s="1363"/>
      <c r="P362" s="1364"/>
      <c r="Q362" s="1363"/>
      <c r="R362" s="1363"/>
      <c r="S362" s="1364"/>
      <c r="T362" s="1363"/>
      <c r="U362" s="1438"/>
      <c r="V362" s="1412"/>
      <c r="W362" s="1409"/>
      <c r="X362" s="1409"/>
      <c r="Y362" s="665"/>
      <c r="Z362" s="1081"/>
      <c r="AA362" s="593"/>
    </row>
    <row r="363" spans="2:33" ht="13" customHeight="1" x14ac:dyDescent="0.3">
      <c r="B363" s="1911" t="s">
        <v>557</v>
      </c>
      <c r="C363" s="1912"/>
      <c r="D363" s="1912"/>
      <c r="E363" s="1912"/>
      <c r="F363" s="1912"/>
      <c r="G363" s="1912"/>
      <c r="H363" s="1912"/>
      <c r="I363" s="1912"/>
      <c r="J363" s="1912"/>
      <c r="K363" s="1418"/>
      <c r="L363" s="1399"/>
      <c r="M363" s="1400"/>
      <c r="N363" s="1401"/>
      <c r="O363" s="1363"/>
      <c r="P363" s="1364"/>
      <c r="Q363" s="1363"/>
      <c r="R363" s="1363"/>
      <c r="S363" s="1364"/>
      <c r="T363" s="1363"/>
      <c r="U363" s="91"/>
      <c r="V363" s="1412"/>
      <c r="W363" s="1409"/>
      <c r="X363" s="1409"/>
      <c r="Y363" s="665"/>
      <c r="Z363" s="1081"/>
      <c r="AA363" s="593"/>
    </row>
    <row r="364" spans="2:33" ht="13" customHeight="1" x14ac:dyDescent="0.3">
      <c r="B364" s="1911" t="s">
        <v>558</v>
      </c>
      <c r="C364" s="1912"/>
      <c r="D364" s="1912"/>
      <c r="E364" s="1912"/>
      <c r="F364" s="1912"/>
      <c r="G364" s="1912"/>
      <c r="H364" s="1912"/>
      <c r="I364" s="1912"/>
      <c r="J364" s="1912"/>
      <c r="K364" s="1418"/>
      <c r="L364" s="1399"/>
      <c r="M364" s="1400"/>
      <c r="N364" s="1401"/>
      <c r="O364" s="1363"/>
      <c r="P364" s="1364"/>
      <c r="Q364" s="1363"/>
      <c r="R364" s="1363"/>
      <c r="S364" s="1364"/>
      <c r="T364" s="1363"/>
      <c r="U364" s="91"/>
      <c r="V364" s="1412"/>
      <c r="W364" s="1409"/>
      <c r="X364" s="1409"/>
      <c r="Y364" s="665"/>
      <c r="Z364" s="1081"/>
      <c r="AA364" s="593"/>
    </row>
    <row r="365" spans="2:33" ht="13" customHeight="1" x14ac:dyDescent="0.3">
      <c r="B365" s="1911" t="s">
        <v>559</v>
      </c>
      <c r="C365" s="1912"/>
      <c r="D365" s="1912"/>
      <c r="E365" s="1912"/>
      <c r="F365" s="1912"/>
      <c r="G365" s="1912"/>
      <c r="H365" s="1912"/>
      <c r="I365" s="1912"/>
      <c r="J365" s="1912"/>
      <c r="K365" s="1418"/>
      <c r="L365" s="1399"/>
      <c r="M365" s="1400"/>
      <c r="N365" s="1401"/>
      <c r="O365" s="1363"/>
      <c r="P365" s="1364"/>
      <c r="Q365" s="1363"/>
      <c r="R365" s="1363"/>
      <c r="S365" s="1364"/>
      <c r="T365" s="1363"/>
      <c r="U365" s="91"/>
      <c r="V365" s="1412"/>
      <c r="W365" s="1409"/>
      <c r="X365" s="1409"/>
      <c r="Y365" s="665"/>
      <c r="Z365" s="1081"/>
      <c r="AA365" s="593"/>
    </row>
    <row r="366" spans="2:33" ht="13" customHeight="1" x14ac:dyDescent="0.3">
      <c r="B366" s="1911" t="s">
        <v>560</v>
      </c>
      <c r="C366" s="1912"/>
      <c r="D366" s="1912"/>
      <c r="E366" s="1912"/>
      <c r="F366" s="1912"/>
      <c r="G366" s="1912"/>
      <c r="H366" s="1912"/>
      <c r="I366" s="1912"/>
      <c r="J366" s="1912"/>
      <c r="K366" s="1418"/>
      <c r="L366" s="1399"/>
      <c r="M366" s="1400"/>
      <c r="N366" s="1401"/>
      <c r="O366" s="1363"/>
      <c r="P366" s="1364"/>
      <c r="Q366" s="1363"/>
      <c r="R366" s="1363"/>
      <c r="S366" s="1364"/>
      <c r="T366" s="1363"/>
      <c r="U366" s="91"/>
      <c r="V366" s="1412"/>
      <c r="W366" s="1409"/>
      <c r="X366" s="1409"/>
      <c r="Y366" s="665"/>
      <c r="Z366" s="1081"/>
      <c r="AA366" s="593"/>
    </row>
    <row r="367" spans="2:33" ht="13" customHeight="1" x14ac:dyDescent="0.3">
      <c r="B367" s="1913" t="s">
        <v>561</v>
      </c>
      <c r="C367" s="1914"/>
      <c r="D367" s="1914"/>
      <c r="E367" s="1914"/>
      <c r="F367" s="1914"/>
      <c r="G367" s="1914"/>
      <c r="H367" s="1914"/>
      <c r="I367" s="1914"/>
      <c r="J367" s="1914"/>
      <c r="K367" s="1457"/>
      <c r="L367" s="1399"/>
      <c r="M367" s="1400"/>
      <c r="N367" s="1401"/>
      <c r="O367" s="1363"/>
      <c r="P367" s="1364"/>
      <c r="Q367" s="1363"/>
      <c r="R367" s="1363"/>
      <c r="S367" s="1364"/>
      <c r="T367" s="1363"/>
      <c r="U367" s="1440"/>
      <c r="V367" s="1458"/>
      <c r="W367" s="1404"/>
      <c r="X367" s="1404"/>
      <c r="Y367" s="665"/>
      <c r="Z367" s="1081"/>
      <c r="AA367" s="593"/>
    </row>
    <row r="368" spans="2:33" ht="13" customHeight="1" x14ac:dyDescent="0.3">
      <c r="B368" s="1844" t="s">
        <v>501</v>
      </c>
      <c r="C368" s="1845"/>
      <c r="D368" s="1845"/>
      <c r="E368" s="1845"/>
      <c r="F368" s="1845"/>
      <c r="G368" s="1845"/>
      <c r="H368" s="1845"/>
      <c r="I368" s="1845"/>
      <c r="J368" s="1845"/>
      <c r="K368" s="1418"/>
      <c r="L368" s="1419"/>
      <c r="M368" s="1420"/>
      <c r="N368" s="1421"/>
      <c r="O368" s="1360"/>
      <c r="P368" s="1359"/>
      <c r="Q368" s="1360"/>
      <c r="R368" s="1360"/>
      <c r="S368" s="1359"/>
      <c r="T368" s="1360"/>
      <c r="U368" s="91"/>
      <c r="V368" s="1459"/>
      <c r="W368" s="1418"/>
      <c r="X368" s="1418"/>
      <c r="Y368" s="665"/>
      <c r="Z368" s="1081"/>
      <c r="AA368" s="593"/>
    </row>
    <row r="369" spans="2:36" ht="13" customHeight="1" x14ac:dyDescent="0.3">
      <c r="B369" s="1844" t="s">
        <v>502</v>
      </c>
      <c r="C369" s="1845"/>
      <c r="D369" s="1845"/>
      <c r="E369" s="1845"/>
      <c r="F369" s="1845"/>
      <c r="G369" s="1845"/>
      <c r="H369" s="1845"/>
      <c r="I369" s="1845"/>
      <c r="J369" s="1845"/>
      <c r="K369" s="1418"/>
      <c r="L369" s="1399"/>
      <c r="M369" s="1400"/>
      <c r="N369" s="1401"/>
      <c r="O369" s="1363"/>
      <c r="P369" s="1364"/>
      <c r="Q369" s="1363"/>
      <c r="R369" s="1363"/>
      <c r="S369" s="1364"/>
      <c r="T369" s="1363"/>
      <c r="U369" s="91"/>
      <c r="V369" s="1412"/>
      <c r="W369" s="1409"/>
      <c r="X369" s="1409"/>
      <c r="Y369" s="665"/>
      <c r="Z369" s="1081"/>
      <c r="AA369" s="593"/>
    </row>
    <row r="370" spans="2:36" ht="13" customHeight="1" x14ac:dyDescent="0.3">
      <c r="B370" s="1844" t="s">
        <v>503</v>
      </c>
      <c r="C370" s="1845"/>
      <c r="D370" s="1845"/>
      <c r="E370" s="1845"/>
      <c r="F370" s="1845"/>
      <c r="G370" s="1845"/>
      <c r="H370" s="1845"/>
      <c r="I370" s="1845"/>
      <c r="J370" s="1845"/>
      <c r="K370" s="1418"/>
      <c r="L370" s="1410"/>
      <c r="M370" s="1411"/>
      <c r="N370" s="1312"/>
      <c r="O370" s="1368"/>
      <c r="P370" s="1369"/>
      <c r="Q370" s="1368"/>
      <c r="R370" s="1368"/>
      <c r="S370" s="1369"/>
      <c r="T370" s="1368"/>
      <c r="U370" s="91"/>
      <c r="V370" s="1412"/>
      <c r="W370" s="1409"/>
      <c r="X370" s="1409"/>
      <c r="Y370" s="665"/>
      <c r="Z370" s="1081"/>
      <c r="AA370" s="593"/>
    </row>
    <row r="371" spans="2:36" ht="13" customHeight="1" x14ac:dyDescent="0.3">
      <c r="B371" s="1853" t="s">
        <v>504</v>
      </c>
      <c r="C371" s="1854"/>
      <c r="D371" s="1854"/>
      <c r="E371" s="1854"/>
      <c r="F371" s="1854"/>
      <c r="G371" s="1854"/>
      <c r="H371" s="1854"/>
      <c r="I371" s="1854"/>
      <c r="J371" s="1854"/>
      <c r="K371" s="1435"/>
      <c r="L371" s="1460"/>
      <c r="M371" s="1460"/>
      <c r="N371" s="1460"/>
      <c r="O371" s="1374"/>
      <c r="P371" s="1374"/>
      <c r="Q371" s="1374"/>
      <c r="R371" s="1374"/>
      <c r="S371" s="1374"/>
      <c r="T371" s="1374"/>
      <c r="U371" s="1435"/>
      <c r="V371" s="1435"/>
      <c r="W371" s="1435"/>
      <c r="X371" s="1461"/>
      <c r="Y371" s="665"/>
      <c r="Z371" s="1081"/>
      <c r="AA371" s="1081"/>
    </row>
    <row r="372" spans="2:36" ht="15.75" customHeight="1" x14ac:dyDescent="0.3">
      <c r="B372" s="1853" t="s">
        <v>505</v>
      </c>
      <c r="C372" s="1854"/>
      <c r="D372" s="1854"/>
      <c r="E372" s="1854"/>
      <c r="F372" s="1854"/>
      <c r="G372" s="1854"/>
      <c r="H372" s="1854"/>
      <c r="I372" s="1854"/>
      <c r="J372" s="1854"/>
      <c r="K372" s="1418"/>
      <c r="L372" s="1419">
        <v>0</v>
      </c>
      <c r="M372" s="1420"/>
      <c r="N372" s="1421"/>
      <c r="O372" s="1421">
        <v>0</v>
      </c>
      <c r="P372" s="1420"/>
      <c r="Q372" s="1421"/>
      <c r="R372" s="1421">
        <v>0</v>
      </c>
      <c r="S372" s="1420"/>
      <c r="T372" s="1421"/>
      <c r="U372" s="91"/>
      <c r="V372" s="1462"/>
      <c r="W372" s="1463"/>
      <c r="X372" s="1463"/>
      <c r="Y372" s="665"/>
      <c r="Z372" s="1088"/>
      <c r="AA372" s="1088"/>
    </row>
    <row r="373" spans="2:36" ht="15.75" customHeight="1" x14ac:dyDescent="0.3">
      <c r="B373" s="1853" t="s">
        <v>506</v>
      </c>
      <c r="C373" s="1854"/>
      <c r="D373" s="1854"/>
      <c r="E373" s="1854"/>
      <c r="F373" s="1854"/>
      <c r="G373" s="1854"/>
      <c r="H373" s="1854"/>
      <c r="I373" s="1854"/>
      <c r="J373" s="1854"/>
      <c r="K373" s="1418"/>
      <c r="L373" s="1399"/>
      <c r="M373" s="1400">
        <v>0</v>
      </c>
      <c r="N373" s="1401">
        <v>0</v>
      </c>
      <c r="O373" s="1401"/>
      <c r="P373" s="1400">
        <v>0</v>
      </c>
      <c r="Q373" s="1401">
        <v>0</v>
      </c>
      <c r="R373" s="1401"/>
      <c r="S373" s="1400">
        <v>0</v>
      </c>
      <c r="T373" s="1401">
        <v>0</v>
      </c>
      <c r="U373" s="91"/>
      <c r="V373" s="1406"/>
      <c r="W373" s="1464"/>
      <c r="X373" s="1464"/>
      <c r="Y373" s="665"/>
      <c r="AA373" s="1088"/>
      <c r="AB373" s="1088"/>
      <c r="AC373" s="33"/>
      <c r="AD373" s="33"/>
      <c r="AE373" s="33"/>
      <c r="AF373" s="189"/>
      <c r="AG373" s="189"/>
      <c r="AH373" s="33"/>
      <c r="AI373" s="712"/>
    </row>
    <row r="374" spans="2:36" ht="26.25" customHeight="1" x14ac:dyDescent="0.3">
      <c r="B374" s="1853" t="s">
        <v>507</v>
      </c>
      <c r="C374" s="1854"/>
      <c r="D374" s="1854"/>
      <c r="E374" s="1854"/>
      <c r="F374" s="1854"/>
      <c r="G374" s="1854"/>
      <c r="H374" s="1854"/>
      <c r="I374" s="1854"/>
      <c r="J374" s="1854"/>
      <c r="K374" s="1418"/>
      <c r="L374" s="1399">
        <f>M374+N374</f>
        <v>0</v>
      </c>
      <c r="M374" s="1400">
        <v>0</v>
      </c>
      <c r="N374" s="1401">
        <v>0</v>
      </c>
      <c r="O374" s="1363">
        <f t="shared" ref="O374:O427" si="36">P374+Q374</f>
        <v>76940</v>
      </c>
      <c r="P374" s="1364">
        <v>38470</v>
      </c>
      <c r="Q374" s="1363">
        <v>38470</v>
      </c>
      <c r="R374" s="1363">
        <f t="shared" ref="R374:R427" si="37">S374+T374</f>
        <v>92328</v>
      </c>
      <c r="S374" s="1364">
        <v>46164</v>
      </c>
      <c r="T374" s="1363">
        <v>46164</v>
      </c>
      <c r="U374" s="91" t="s">
        <v>234</v>
      </c>
      <c r="V374" s="1406"/>
      <c r="W374" s="1464"/>
      <c r="X374" s="1464"/>
      <c r="Y374" s="665"/>
      <c r="Z374" s="322"/>
      <c r="AB374" s="33"/>
      <c r="AC374" s="33"/>
      <c r="AD374" s="33"/>
      <c r="AE374" s="33"/>
      <c r="AF374" s="189"/>
      <c r="AG374" s="189"/>
      <c r="AH374" s="158"/>
      <c r="AI374" s="158"/>
      <c r="AJ374" s="35"/>
    </row>
    <row r="375" spans="2:36" ht="15.75" customHeight="1" x14ac:dyDescent="0.3">
      <c r="B375" s="1853" t="s">
        <v>508</v>
      </c>
      <c r="C375" s="1854"/>
      <c r="D375" s="1854"/>
      <c r="E375" s="1854"/>
      <c r="F375" s="1854"/>
      <c r="G375" s="1854"/>
      <c r="H375" s="1854"/>
      <c r="I375" s="1854"/>
      <c r="J375" s="1854"/>
      <c r="K375" s="1404"/>
      <c r="L375" s="1399"/>
      <c r="M375" s="1400"/>
      <c r="N375" s="1401"/>
      <c r="O375" s="1363"/>
      <c r="P375" s="1364"/>
      <c r="Q375" s="1363"/>
      <c r="R375" s="1363"/>
      <c r="S375" s="1364"/>
      <c r="T375" s="1363"/>
      <c r="U375" s="91"/>
      <c r="V375" s="1406"/>
      <c r="W375" s="1464"/>
      <c r="X375" s="1464"/>
      <c r="Y375" s="665"/>
      <c r="Z375" s="322"/>
      <c r="AB375" s="33"/>
      <c r="AC375" s="33"/>
      <c r="AD375" s="33"/>
      <c r="AE375" s="33"/>
      <c r="AF375" s="189"/>
      <c r="AG375" s="189"/>
      <c r="AH375" s="158"/>
      <c r="AI375" s="158"/>
      <c r="AJ375" s="35"/>
    </row>
    <row r="376" spans="2:36" ht="24.75" customHeight="1" thickBot="1" x14ac:dyDescent="0.35">
      <c r="B376" s="1895" t="s">
        <v>509</v>
      </c>
      <c r="C376" s="1896"/>
      <c r="D376" s="1896"/>
      <c r="E376" s="1896"/>
      <c r="F376" s="1896"/>
      <c r="G376" s="1896"/>
      <c r="H376" s="1896"/>
      <c r="I376" s="1896"/>
      <c r="J376" s="1896"/>
      <c r="K376" s="1424"/>
      <c r="L376" s="1425"/>
      <c r="M376" s="1426"/>
      <c r="N376" s="1427"/>
      <c r="O376" s="1372"/>
      <c r="P376" s="1373"/>
      <c r="Q376" s="1372"/>
      <c r="R376" s="1372"/>
      <c r="S376" s="1373"/>
      <c r="T376" s="1372"/>
      <c r="U376" s="1428"/>
      <c r="V376" s="1443"/>
      <c r="W376" s="1449"/>
      <c r="X376" s="1449"/>
      <c r="Y376" s="665"/>
      <c r="Z376" s="322"/>
      <c r="AB376" s="885"/>
      <c r="AC376" s="885"/>
      <c r="AD376" s="885"/>
      <c r="AE376" s="885"/>
      <c r="AF376" s="847"/>
      <c r="AG376" s="847"/>
      <c r="AH376" s="842"/>
      <c r="AI376" s="842"/>
      <c r="AJ376" s="35"/>
    </row>
    <row r="377" spans="2:36" ht="15.75" customHeight="1" thickBot="1" x14ac:dyDescent="0.4">
      <c r="B377" s="1444" t="s">
        <v>536</v>
      </c>
      <c r="C377" s="1445"/>
      <c r="D377" s="1445"/>
      <c r="E377" s="1445"/>
      <c r="F377" s="1316"/>
      <c r="G377" s="1316"/>
      <c r="H377" s="1316"/>
      <c r="I377" s="1316"/>
      <c r="J377" s="1316"/>
      <c r="K377" s="1413"/>
      <c r="L377" s="1414"/>
      <c r="M377" s="1381"/>
      <c r="N377" s="1382"/>
      <c r="O377" s="1315"/>
      <c r="P377" s="1375"/>
      <c r="Q377" s="1315"/>
      <c r="R377" s="1315"/>
      <c r="S377" s="1375"/>
      <c r="T377" s="1315"/>
      <c r="U377" s="1316"/>
      <c r="V377" s="1621">
        <f>W377+X377</f>
        <v>300000</v>
      </c>
      <c r="W377" s="1621">
        <v>150000</v>
      </c>
      <c r="X377" s="1622">
        <v>150000</v>
      </c>
      <c r="Y377" s="665"/>
      <c r="Z377" s="322"/>
      <c r="AB377" s="885"/>
      <c r="AC377" s="885"/>
      <c r="AD377" s="885"/>
      <c r="AE377" s="885"/>
      <c r="AF377" s="847"/>
      <c r="AG377" s="847"/>
      <c r="AH377" s="842"/>
      <c r="AI377" s="842"/>
      <c r="AJ377" s="35"/>
    </row>
    <row r="378" spans="2:36" ht="15.75" customHeight="1" x14ac:dyDescent="0.3">
      <c r="B378" s="1933" t="s">
        <v>510</v>
      </c>
      <c r="C378" s="1934"/>
      <c r="D378" s="1934"/>
      <c r="E378" s="1934"/>
      <c r="F378" s="1934"/>
      <c r="G378" s="1934"/>
      <c r="H378" s="1934"/>
      <c r="I378" s="1934"/>
      <c r="J378" s="1934"/>
      <c r="K378" s="1403"/>
      <c r="L378" s="1446"/>
      <c r="M378" s="1447"/>
      <c r="N378" s="1448"/>
      <c r="O378" s="1376"/>
      <c r="P378" s="1377"/>
      <c r="Q378" s="1376"/>
      <c r="R378" s="1376"/>
      <c r="S378" s="1377"/>
      <c r="T378" s="1376"/>
      <c r="U378" s="90"/>
      <c r="V378" s="1623"/>
      <c r="W378" s="1623"/>
      <c r="X378" s="1624"/>
      <c r="Y378" s="665"/>
      <c r="Z378" s="322"/>
      <c r="AB378" s="885"/>
      <c r="AC378" s="885"/>
      <c r="AD378" s="885"/>
      <c r="AE378" s="885"/>
      <c r="AF378" s="847"/>
      <c r="AG378" s="847"/>
      <c r="AH378" s="842"/>
      <c r="AI378" s="842"/>
      <c r="AJ378" s="35"/>
    </row>
    <row r="379" spans="2:36" ht="15.75" customHeight="1" x14ac:dyDescent="0.3">
      <c r="B379" s="1844" t="s">
        <v>511</v>
      </c>
      <c r="C379" s="1845"/>
      <c r="D379" s="1845"/>
      <c r="E379" s="1845"/>
      <c r="F379" s="1845"/>
      <c r="G379" s="1845"/>
      <c r="H379" s="1845"/>
      <c r="I379" s="1845"/>
      <c r="J379" s="1845"/>
      <c r="K379" s="1418"/>
      <c r="L379" s="1419"/>
      <c r="M379" s="1420"/>
      <c r="N379" s="1421"/>
      <c r="O379" s="1360"/>
      <c r="P379" s="1359"/>
      <c r="Q379" s="1360"/>
      <c r="R379" s="1360"/>
      <c r="S379" s="1359"/>
      <c r="T379" s="1360"/>
      <c r="U379" s="91"/>
      <c r="V379" s="1625"/>
      <c r="W379" s="1625"/>
      <c r="X379" s="1626"/>
      <c r="Y379" s="665"/>
      <c r="Z379" s="322"/>
      <c r="AB379" s="885"/>
      <c r="AC379" s="885"/>
      <c r="AD379" s="885"/>
      <c r="AE379" s="885"/>
      <c r="AF379" s="847"/>
      <c r="AG379" s="847"/>
      <c r="AH379" s="842"/>
      <c r="AI379" s="842"/>
      <c r="AJ379" s="35"/>
    </row>
    <row r="380" spans="2:36" ht="15.75" customHeight="1" x14ac:dyDescent="0.3">
      <c r="B380" s="1844" t="s">
        <v>512</v>
      </c>
      <c r="C380" s="1845"/>
      <c r="D380" s="1845"/>
      <c r="E380" s="1845"/>
      <c r="F380" s="1845"/>
      <c r="G380" s="1845"/>
      <c r="H380" s="1845"/>
      <c r="I380" s="1845"/>
      <c r="J380" s="1845"/>
      <c r="K380" s="1418"/>
      <c r="L380" s="1419"/>
      <c r="M380" s="1420"/>
      <c r="N380" s="1421"/>
      <c r="O380" s="1360"/>
      <c r="P380" s="1359"/>
      <c r="Q380" s="1360"/>
      <c r="R380" s="1360"/>
      <c r="S380" s="1359"/>
      <c r="T380" s="1360"/>
      <c r="U380" s="91"/>
      <c r="V380" s="1625"/>
      <c r="W380" s="1625"/>
      <c r="X380" s="1626"/>
      <c r="Y380" s="665"/>
      <c r="Z380" s="322"/>
      <c r="AB380" s="885"/>
      <c r="AC380" s="885"/>
      <c r="AD380" s="885"/>
      <c r="AE380" s="885"/>
      <c r="AF380" s="847"/>
      <c r="AG380" s="847"/>
      <c r="AH380" s="842"/>
      <c r="AI380" s="842"/>
      <c r="AJ380" s="35"/>
    </row>
    <row r="381" spans="2:36" ht="15.75" customHeight="1" x14ac:dyDescent="0.3">
      <c r="B381" s="1844" t="s">
        <v>513</v>
      </c>
      <c r="C381" s="1845"/>
      <c r="D381" s="1845"/>
      <c r="E381" s="1845"/>
      <c r="F381" s="1845"/>
      <c r="G381" s="1845"/>
      <c r="H381" s="1845"/>
      <c r="I381" s="1845"/>
      <c r="J381" s="1845"/>
      <c r="K381" s="1418"/>
      <c r="L381" s="1419"/>
      <c r="M381" s="1420"/>
      <c r="N381" s="1421"/>
      <c r="O381" s="1360"/>
      <c r="P381" s="1359"/>
      <c r="Q381" s="1360"/>
      <c r="R381" s="1360"/>
      <c r="S381" s="1359"/>
      <c r="T381" s="1360"/>
      <c r="U381" s="91"/>
      <c r="V381" s="1625"/>
      <c r="W381" s="1625"/>
      <c r="X381" s="1626"/>
      <c r="Y381" s="665"/>
      <c r="Z381" s="322"/>
      <c r="AB381" s="885"/>
      <c r="AC381" s="885"/>
      <c r="AD381" s="885"/>
      <c r="AE381" s="885"/>
      <c r="AF381" s="847"/>
      <c r="AG381" s="847"/>
      <c r="AH381" s="842"/>
      <c r="AI381" s="842"/>
      <c r="AJ381" s="35"/>
    </row>
    <row r="382" spans="2:36" ht="15.75" customHeight="1" x14ac:dyDescent="0.3">
      <c r="B382" s="1844" t="s">
        <v>514</v>
      </c>
      <c r="C382" s="1845"/>
      <c r="D382" s="1845"/>
      <c r="E382" s="1845"/>
      <c r="F382" s="1845"/>
      <c r="G382" s="1845"/>
      <c r="H382" s="1845"/>
      <c r="I382" s="1845"/>
      <c r="J382" s="1845"/>
      <c r="K382" s="1418"/>
      <c r="L382" s="1419"/>
      <c r="M382" s="1420"/>
      <c r="N382" s="1421"/>
      <c r="O382" s="1360"/>
      <c r="P382" s="1359"/>
      <c r="Q382" s="1360"/>
      <c r="R382" s="1360"/>
      <c r="S382" s="1359"/>
      <c r="T382" s="1360"/>
      <c r="U382" s="91"/>
      <c r="V382" s="1625"/>
      <c r="W382" s="1625"/>
      <c r="X382" s="1626"/>
      <c r="Y382" s="665"/>
      <c r="Z382" s="322"/>
      <c r="AB382" s="885"/>
      <c r="AC382" s="885"/>
      <c r="AD382" s="885"/>
      <c r="AE382" s="885"/>
      <c r="AF382" s="847"/>
      <c r="AG382" s="847"/>
      <c r="AH382" s="842"/>
      <c r="AI382" s="842"/>
      <c r="AJ382" s="35"/>
    </row>
    <row r="383" spans="2:36" ht="15.75" customHeight="1" x14ac:dyDescent="0.3">
      <c r="B383" s="1844" t="s">
        <v>515</v>
      </c>
      <c r="C383" s="1845"/>
      <c r="D383" s="1845"/>
      <c r="E383" s="1845"/>
      <c r="F383" s="1845"/>
      <c r="G383" s="1845"/>
      <c r="H383" s="1845"/>
      <c r="I383" s="1845"/>
      <c r="J383" s="1845"/>
      <c r="K383" s="1418"/>
      <c r="L383" s="1419"/>
      <c r="M383" s="1420"/>
      <c r="N383" s="1421"/>
      <c r="O383" s="1360"/>
      <c r="P383" s="1359"/>
      <c r="Q383" s="1360"/>
      <c r="R383" s="1360"/>
      <c r="S383" s="1359"/>
      <c r="T383" s="1360"/>
      <c r="U383" s="91"/>
      <c r="V383" s="1625"/>
      <c r="W383" s="1625"/>
      <c r="X383" s="1626"/>
      <c r="Y383" s="665"/>
      <c r="Z383" s="322"/>
      <c r="AB383" s="885"/>
      <c r="AC383" s="885"/>
      <c r="AD383" s="885"/>
      <c r="AE383" s="885"/>
      <c r="AF383" s="847"/>
      <c r="AG383" s="847"/>
      <c r="AH383" s="842"/>
      <c r="AI383" s="842"/>
      <c r="AJ383" s="35"/>
    </row>
    <row r="384" spans="2:36" ht="15.75" customHeight="1" x14ac:dyDescent="0.3">
      <c r="B384" s="1844" t="s">
        <v>516</v>
      </c>
      <c r="C384" s="1845"/>
      <c r="D384" s="1845"/>
      <c r="E384" s="1845"/>
      <c r="F384" s="1845"/>
      <c r="G384" s="1845"/>
      <c r="H384" s="1845"/>
      <c r="I384" s="1845"/>
      <c r="J384" s="1845"/>
      <c r="K384" s="1418"/>
      <c r="L384" s="1419"/>
      <c r="M384" s="1420"/>
      <c r="N384" s="1421"/>
      <c r="O384" s="1360"/>
      <c r="P384" s="1359"/>
      <c r="Q384" s="1360"/>
      <c r="R384" s="1360"/>
      <c r="S384" s="1359"/>
      <c r="T384" s="1360"/>
      <c r="U384" s="91"/>
      <c r="V384" s="1625"/>
      <c r="W384" s="1625"/>
      <c r="X384" s="1626"/>
      <c r="Y384" s="665"/>
      <c r="Z384" s="322"/>
      <c r="AB384" s="885"/>
      <c r="AC384" s="885"/>
      <c r="AD384" s="885"/>
      <c r="AE384" s="885"/>
      <c r="AF384" s="847"/>
      <c r="AG384" s="847"/>
      <c r="AH384" s="842"/>
      <c r="AI384" s="842"/>
      <c r="AJ384" s="35"/>
    </row>
    <row r="385" spans="2:36" ht="15.75" customHeight="1" x14ac:dyDescent="0.3">
      <c r="B385" s="1844" t="s">
        <v>517</v>
      </c>
      <c r="C385" s="1845"/>
      <c r="D385" s="1845"/>
      <c r="E385" s="1845"/>
      <c r="F385" s="1845"/>
      <c r="G385" s="1845"/>
      <c r="H385" s="1845"/>
      <c r="I385" s="1845"/>
      <c r="J385" s="1845"/>
      <c r="K385" s="1418"/>
      <c r="L385" s="1419"/>
      <c r="M385" s="1420"/>
      <c r="N385" s="1421"/>
      <c r="O385" s="1360"/>
      <c r="P385" s="1359"/>
      <c r="Q385" s="1360"/>
      <c r="R385" s="1360"/>
      <c r="S385" s="1359"/>
      <c r="T385" s="1360"/>
      <c r="U385" s="91"/>
      <c r="V385" s="1625"/>
      <c r="W385" s="1625"/>
      <c r="X385" s="1626"/>
      <c r="Y385" s="665"/>
      <c r="Z385" s="322"/>
      <c r="AB385" s="885"/>
      <c r="AC385" s="885"/>
      <c r="AD385" s="885"/>
      <c r="AE385" s="885"/>
      <c r="AF385" s="847"/>
      <c r="AG385" s="847"/>
      <c r="AH385" s="842"/>
      <c r="AI385" s="842"/>
      <c r="AJ385" s="35"/>
    </row>
    <row r="386" spans="2:36" ht="15.75" customHeight="1" x14ac:dyDescent="0.3">
      <c r="B386" s="1844" t="s">
        <v>518</v>
      </c>
      <c r="C386" s="1845"/>
      <c r="D386" s="1845"/>
      <c r="E386" s="1845"/>
      <c r="F386" s="1845"/>
      <c r="G386" s="1845"/>
      <c r="H386" s="1845"/>
      <c r="I386" s="1845"/>
      <c r="J386" s="1845"/>
      <c r="K386" s="1418"/>
      <c r="L386" s="1419"/>
      <c r="M386" s="1420"/>
      <c r="N386" s="1421"/>
      <c r="O386" s="1360"/>
      <c r="P386" s="1359"/>
      <c r="Q386" s="1360"/>
      <c r="R386" s="1360"/>
      <c r="S386" s="1359"/>
      <c r="T386" s="1360"/>
      <c r="U386" s="91"/>
      <c r="V386" s="1465"/>
      <c r="W386" s="1465"/>
      <c r="X386" s="1466"/>
      <c r="Y386" s="665"/>
      <c r="Z386" s="322"/>
      <c r="AB386" s="885"/>
      <c r="AC386" s="885"/>
      <c r="AD386" s="885"/>
      <c r="AE386" s="885"/>
      <c r="AF386" s="847"/>
      <c r="AG386" s="847"/>
      <c r="AH386" s="842"/>
      <c r="AI386" s="842"/>
      <c r="AJ386" s="35"/>
    </row>
    <row r="387" spans="2:36" ht="15.75" customHeight="1" thickBot="1" x14ac:dyDescent="0.35">
      <c r="B387" s="1844" t="s">
        <v>519</v>
      </c>
      <c r="C387" s="1845"/>
      <c r="D387" s="1845"/>
      <c r="E387" s="1845"/>
      <c r="F387" s="1845"/>
      <c r="G387" s="1845"/>
      <c r="H387" s="1845"/>
      <c r="I387" s="1845"/>
      <c r="J387" s="1845"/>
      <c r="K387" s="1418"/>
      <c r="L387" s="1467"/>
      <c r="M387" s="1468"/>
      <c r="N387" s="1469"/>
      <c r="O387" s="1308"/>
      <c r="P387" s="1378"/>
      <c r="Q387" s="1308"/>
      <c r="R387" s="1308"/>
      <c r="S387" s="1378"/>
      <c r="T387" s="1308"/>
      <c r="U387" s="1428"/>
      <c r="V387" s="1470"/>
      <c r="W387" s="1470"/>
      <c r="X387" s="1471"/>
      <c r="Y387" s="665"/>
      <c r="Z387" s="322"/>
      <c r="AB387" s="885"/>
      <c r="AC387" s="885"/>
      <c r="AD387" s="885"/>
      <c r="AE387" s="885"/>
      <c r="AF387" s="847"/>
      <c r="AG387" s="847"/>
      <c r="AH387" s="842"/>
      <c r="AI387" s="842"/>
      <c r="AJ387" s="35"/>
    </row>
    <row r="388" spans="2:36" ht="16" thickBot="1" x14ac:dyDescent="0.4">
      <c r="B388" s="1865" t="s">
        <v>537</v>
      </c>
      <c r="C388" s="1866"/>
      <c r="D388" s="1866"/>
      <c r="E388" s="1866"/>
      <c r="F388" s="1866"/>
      <c r="G388" s="1866"/>
      <c r="H388" s="1866"/>
      <c r="I388" s="1866"/>
      <c r="J388" s="1866"/>
      <c r="K388" s="1867"/>
      <c r="L388" s="1414"/>
      <c r="M388" s="1381"/>
      <c r="N388" s="1382"/>
      <c r="O388" s="1315">
        <f t="shared" si="36"/>
        <v>325743.09999999998</v>
      </c>
      <c r="P388" s="1375">
        <f>60.06+1457.44+20800+13000+13000+7800+4591.42+3717.66+354+2116.5+19506.2+2299.73+58698.42</f>
        <v>147401.43</v>
      </c>
      <c r="Q388" s="1315">
        <f>1457.44+22501.51+2319+67+19856.75+3404.05+783.5+354+15600+2000+39000+11700+58698.42+600</f>
        <v>178341.66999999998</v>
      </c>
      <c r="R388" s="1315">
        <f t="shared" si="37"/>
        <v>391251.72</v>
      </c>
      <c r="S388" s="1375">
        <v>177241.72</v>
      </c>
      <c r="T388" s="1315">
        <v>214010</v>
      </c>
      <c r="U388" s="1316" t="s">
        <v>236</v>
      </c>
      <c r="V388" s="1613">
        <f>W388+X388</f>
        <v>4655302</v>
      </c>
      <c r="W388" s="1614">
        <f>W390+W417</f>
        <v>2254302</v>
      </c>
      <c r="X388" s="1614">
        <f>X390+X417</f>
        <v>2401000</v>
      </c>
      <c r="Y388" s="665"/>
      <c r="Z388" s="322"/>
      <c r="AB388" s="322"/>
      <c r="AC388" s="8"/>
      <c r="AD388" s="721"/>
      <c r="AE388" s="721"/>
      <c r="AF388" s="721"/>
      <c r="AG388" s="158"/>
      <c r="AH388" s="158"/>
      <c r="AI388" s="158"/>
      <c r="AJ388" s="35"/>
    </row>
    <row r="389" spans="2:36" ht="16" thickBot="1" x14ac:dyDescent="0.4">
      <c r="B389" s="1923" t="s">
        <v>604</v>
      </c>
      <c r="C389" s="1924"/>
      <c r="D389" s="1924"/>
      <c r="E389" s="1924"/>
      <c r="F389" s="1924"/>
      <c r="G389" s="1924"/>
      <c r="H389" s="1924"/>
      <c r="I389" s="1924"/>
      <c r="J389" s="1925"/>
      <c r="K389" s="1598"/>
      <c r="L389" s="1311"/>
      <c r="M389" s="1451"/>
      <c r="N389" s="1452"/>
      <c r="O389" s="1356"/>
      <c r="P389" s="1355"/>
      <c r="Q389" s="1356"/>
      <c r="R389" s="1356"/>
      <c r="S389" s="1355"/>
      <c r="T389" s="1356"/>
      <c r="U389" s="91"/>
      <c r="V389" s="1653"/>
      <c r="W389" s="1654"/>
      <c r="X389" s="1654"/>
      <c r="Y389" s="665"/>
      <c r="Z389" s="322"/>
      <c r="AB389" s="322"/>
      <c r="AC389" s="8"/>
      <c r="AD389" s="721"/>
      <c r="AE389" s="721"/>
      <c r="AF389" s="721"/>
      <c r="AG389" s="842"/>
      <c r="AH389" s="842"/>
      <c r="AI389" s="842"/>
      <c r="AJ389" s="35"/>
    </row>
    <row r="390" spans="2:36" ht="16" thickBot="1" x14ac:dyDescent="0.4">
      <c r="B390" s="1920" t="s">
        <v>618</v>
      </c>
      <c r="C390" s="1921"/>
      <c r="D390" s="1921"/>
      <c r="E390" s="1921"/>
      <c r="F390" s="1921"/>
      <c r="G390" s="1921"/>
      <c r="H390" s="1921"/>
      <c r="I390" s="1921"/>
      <c r="J390" s="1922"/>
      <c r="K390" s="1473"/>
      <c r="L390" s="1311"/>
      <c r="M390" s="1451"/>
      <c r="N390" s="1452"/>
      <c r="O390" s="1356"/>
      <c r="P390" s="1355"/>
      <c r="Q390" s="1356"/>
      <c r="R390" s="1356"/>
      <c r="S390" s="1355"/>
      <c r="T390" s="1356"/>
      <c r="U390" s="91"/>
      <c r="V390" s="1613">
        <f>W390+X390</f>
        <v>2255302</v>
      </c>
      <c r="W390" s="1655">
        <f>W391+W392+W393+W394+W413</f>
        <v>1054302</v>
      </c>
      <c r="X390" s="1655">
        <f>X391+X392+X393+X394+X413</f>
        <v>1201000</v>
      </c>
      <c r="Y390" s="665"/>
      <c r="Z390" s="322"/>
      <c r="AB390" s="322"/>
      <c r="AC390" s="8"/>
      <c r="AD390" s="721"/>
      <c r="AE390" s="721"/>
      <c r="AF390" s="721"/>
      <c r="AG390" s="842"/>
      <c r="AH390" s="842"/>
      <c r="AI390" s="842"/>
      <c r="AJ390" s="35"/>
    </row>
    <row r="391" spans="2:36" ht="15.5" x14ac:dyDescent="0.35">
      <c r="B391" s="1472" t="s">
        <v>533</v>
      </c>
      <c r="C391" s="1473"/>
      <c r="D391" s="91"/>
      <c r="E391" s="1473"/>
      <c r="F391" s="1473"/>
      <c r="G391" s="1473"/>
      <c r="H391" s="1473"/>
      <c r="I391" s="1473"/>
      <c r="J391" s="1475"/>
      <c r="K391" s="1474" t="s">
        <v>238</v>
      </c>
      <c r="L391" s="1419"/>
      <c r="M391" s="1420"/>
      <c r="N391" s="1421"/>
      <c r="O391" s="1360"/>
      <c r="P391" s="1359"/>
      <c r="Q391" s="1360"/>
      <c r="R391" s="1360"/>
      <c r="S391" s="1359"/>
      <c r="T391" s="1360"/>
      <c r="U391" s="84"/>
      <c r="V391" s="1625">
        <v>25000</v>
      </c>
      <c r="W391" s="1625">
        <v>0</v>
      </c>
      <c r="X391" s="1625">
        <v>25000</v>
      </c>
      <c r="Y391" s="665"/>
      <c r="Z391" s="322"/>
      <c r="AA391" s="87"/>
      <c r="AB391" s="322"/>
      <c r="AC391" s="8"/>
      <c r="AD391" s="721"/>
      <c r="AE391" s="721"/>
      <c r="AF391" s="721"/>
      <c r="AG391" s="158"/>
      <c r="AH391" s="158"/>
      <c r="AI391" s="158"/>
      <c r="AJ391" s="35"/>
    </row>
    <row r="392" spans="2:36" ht="22.5" customHeight="1" x14ac:dyDescent="0.3">
      <c r="B392" s="1902" t="s">
        <v>534</v>
      </c>
      <c r="C392" s="1903"/>
      <c r="D392" s="1903"/>
      <c r="E392" s="1903"/>
      <c r="F392" s="1903"/>
      <c r="G392" s="1903"/>
      <c r="H392" s="1903"/>
      <c r="I392" s="1903"/>
      <c r="J392" s="1904"/>
      <c r="K392" s="1474"/>
      <c r="L392" s="1399"/>
      <c r="M392" s="1400"/>
      <c r="N392" s="1401"/>
      <c r="O392" s="1363"/>
      <c r="P392" s="1364"/>
      <c r="Q392" s="1363"/>
      <c r="R392" s="1363"/>
      <c r="S392" s="1364"/>
      <c r="T392" s="1363"/>
      <c r="U392" s="84"/>
      <c r="V392" s="1611">
        <f>W392+X392</f>
        <v>800000</v>
      </c>
      <c r="W392" s="1656">
        <v>400000</v>
      </c>
      <c r="X392" s="1656">
        <v>400000</v>
      </c>
      <c r="Y392" s="665"/>
      <c r="Z392" s="1075"/>
      <c r="AA392" s="593"/>
      <c r="AB392" s="322"/>
      <c r="AC392" s="8"/>
      <c r="AD392" s="721"/>
      <c r="AE392" s="721"/>
      <c r="AF392" s="721"/>
      <c r="AG392" s="158"/>
      <c r="AH392" s="158"/>
      <c r="AI392" s="158"/>
      <c r="AJ392" s="35"/>
    </row>
    <row r="393" spans="2:36" ht="31.5" customHeight="1" x14ac:dyDescent="0.35">
      <c r="B393" s="1902" t="s">
        <v>562</v>
      </c>
      <c r="C393" s="1903"/>
      <c r="D393" s="1903"/>
      <c r="E393" s="1903"/>
      <c r="F393" s="1903"/>
      <c r="G393" s="1903"/>
      <c r="H393" s="1903"/>
      <c r="I393" s="1903"/>
      <c r="J393" s="1904"/>
      <c r="K393" s="1475"/>
      <c r="L393" s="1399"/>
      <c r="M393" s="1400"/>
      <c r="N393" s="1401"/>
      <c r="O393" s="1363"/>
      <c r="P393" s="1364"/>
      <c r="Q393" s="1363"/>
      <c r="R393" s="1363"/>
      <c r="S393" s="1364"/>
      <c r="T393" s="1363"/>
      <c r="U393" s="84"/>
      <c r="V393" s="1611">
        <f>W393+X393</f>
        <v>230302</v>
      </c>
      <c r="W393" s="1656">
        <v>54302</v>
      </c>
      <c r="X393" s="1656">
        <v>176000</v>
      </c>
      <c r="Y393" s="668"/>
      <c r="Z393" s="1582"/>
      <c r="AA393" s="1088"/>
      <c r="AB393" s="322"/>
      <c r="AC393" s="8"/>
      <c r="AD393" s="721"/>
      <c r="AE393" s="721"/>
      <c r="AF393" s="721"/>
      <c r="AG393" s="158"/>
      <c r="AH393" s="158"/>
      <c r="AI393" s="158"/>
      <c r="AJ393" s="35"/>
    </row>
    <row r="394" spans="2:36" ht="13" x14ac:dyDescent="0.3">
      <c r="B394" s="1472" t="s">
        <v>520</v>
      </c>
      <c r="C394" s="91"/>
      <c r="D394" s="91"/>
      <c r="E394" s="91"/>
      <c r="F394" s="91"/>
      <c r="G394" s="91"/>
      <c r="H394" s="91"/>
      <c r="I394" s="91"/>
      <c r="J394" s="1436"/>
      <c r="K394" s="1476"/>
      <c r="L394" s="1410"/>
      <c r="M394" s="1411"/>
      <c r="N394" s="1312"/>
      <c r="O394" s="1312"/>
      <c r="P394" s="1411"/>
      <c r="Q394" s="1312"/>
      <c r="R394" s="1312"/>
      <c r="S394" s="1411"/>
      <c r="T394" s="1312"/>
      <c r="U394" s="84"/>
      <c r="V394" s="1657" t="s">
        <v>313</v>
      </c>
      <c r="W394" s="1618">
        <v>500000</v>
      </c>
      <c r="X394" s="1618">
        <v>500000</v>
      </c>
      <c r="Y394" s="1090"/>
      <c r="Z394" s="1088"/>
      <c r="AA394" s="1088"/>
      <c r="AB394" s="731"/>
      <c r="AC394" s="731"/>
      <c r="AD394" s="731"/>
      <c r="AE394" s="731"/>
      <c r="AF394" s="731"/>
      <c r="AG394" s="731"/>
      <c r="AH394" s="731"/>
      <c r="AI394" s="731"/>
      <c r="AJ394" s="35"/>
    </row>
    <row r="395" spans="2:36" ht="28.5" customHeight="1" thickBot="1" x14ac:dyDescent="0.35">
      <c r="B395" s="1905" t="s">
        <v>535</v>
      </c>
      <c r="C395" s="1906"/>
      <c r="D395" s="1906"/>
      <c r="E395" s="1906"/>
      <c r="F395" s="1906"/>
      <c r="G395" s="1906"/>
      <c r="H395" s="1906"/>
      <c r="I395" s="1906"/>
      <c r="J395" s="1907"/>
      <c r="K395" s="1409"/>
      <c r="L395" s="1410"/>
      <c r="M395" s="1411"/>
      <c r="N395" s="1312"/>
      <c r="O395" s="1312"/>
      <c r="P395" s="1411"/>
      <c r="Q395" s="1312"/>
      <c r="R395" s="1312"/>
      <c r="S395" s="1411"/>
      <c r="T395" s="1312"/>
      <c r="U395" s="84"/>
      <c r="V395" s="1465"/>
      <c r="W395" s="1465"/>
      <c r="X395" s="1465"/>
      <c r="Y395" s="1090"/>
      <c r="Z395" s="1083"/>
      <c r="AA395" s="1083"/>
      <c r="AB395" s="731"/>
      <c r="AC395" s="731"/>
      <c r="AD395" s="731"/>
      <c r="AE395" s="731"/>
      <c r="AF395" s="731"/>
      <c r="AG395" s="731"/>
      <c r="AH395" s="731"/>
      <c r="AI395" s="731"/>
      <c r="AJ395" s="35"/>
    </row>
    <row r="396" spans="2:36" ht="15.75" customHeight="1" thickBot="1" x14ac:dyDescent="0.35">
      <c r="B396" s="1856" t="s">
        <v>521</v>
      </c>
      <c r="C396" s="1857"/>
      <c r="D396" s="1857"/>
      <c r="E396" s="1857"/>
      <c r="F396" s="1857"/>
      <c r="G396" s="1857"/>
      <c r="H396" s="1857"/>
      <c r="I396" s="1857"/>
      <c r="J396" s="1858"/>
      <c r="K396" s="1477"/>
      <c r="L396" s="1460"/>
      <c r="M396" s="1460"/>
      <c r="N396" s="1460"/>
      <c r="O396" s="1460"/>
      <c r="P396" s="1460"/>
      <c r="Q396" s="1460"/>
      <c r="R396" s="1460"/>
      <c r="S396" s="1460"/>
      <c r="T396" s="1460"/>
      <c r="U396" s="1478"/>
      <c r="V396" s="1465"/>
      <c r="W396" s="1465"/>
      <c r="X396" s="1465"/>
      <c r="Y396" s="101"/>
      <c r="Z396" s="1299"/>
      <c r="AA396" s="1299"/>
      <c r="AB396" s="697"/>
      <c r="AC396" s="697"/>
      <c r="AD396" s="697"/>
      <c r="AE396" s="697"/>
      <c r="AF396" s="697"/>
      <c r="AG396" s="63"/>
      <c r="AH396" s="63"/>
      <c r="AI396" s="63"/>
      <c r="AJ396" s="35"/>
    </row>
    <row r="397" spans="2:36" ht="0.75" customHeight="1" thickBot="1" x14ac:dyDescent="0.35">
      <c r="B397" s="1853"/>
      <c r="C397" s="1854"/>
      <c r="D397" s="1854"/>
      <c r="E397" s="1854"/>
      <c r="F397" s="1854"/>
      <c r="G397" s="1854"/>
      <c r="H397" s="1854"/>
      <c r="I397" s="1854"/>
      <c r="J397" s="1855"/>
      <c r="K397" s="1477"/>
      <c r="L397" s="1460"/>
      <c r="M397" s="1460"/>
      <c r="N397" s="1460"/>
      <c r="O397" s="1460"/>
      <c r="P397" s="1460"/>
      <c r="Q397" s="1460"/>
      <c r="R397" s="1460"/>
      <c r="S397" s="1460"/>
      <c r="T397" s="1460"/>
      <c r="U397" s="1478"/>
      <c r="V397" s="1465"/>
      <c r="W397" s="1465"/>
      <c r="X397" s="1465"/>
      <c r="Y397" s="101"/>
      <c r="Z397" s="1299"/>
      <c r="AA397" s="1299"/>
      <c r="AB397" s="697"/>
      <c r="AC397" s="697"/>
      <c r="AD397" s="697"/>
      <c r="AE397" s="697"/>
      <c r="AF397" s="697"/>
      <c r="AG397" s="63"/>
      <c r="AH397" s="63"/>
      <c r="AI397" s="63"/>
      <c r="AJ397" s="35"/>
    </row>
    <row r="398" spans="2:36" ht="14.25" customHeight="1" thickBot="1" x14ac:dyDescent="0.35">
      <c r="B398" s="1853" t="s">
        <v>522</v>
      </c>
      <c r="C398" s="1854"/>
      <c r="D398" s="1854"/>
      <c r="E398" s="1854"/>
      <c r="F398" s="1854"/>
      <c r="G398" s="1854"/>
      <c r="H398" s="1854"/>
      <c r="I398" s="1854"/>
      <c r="J398" s="1855"/>
      <c r="K398" s="1477"/>
      <c r="L398" s="1460"/>
      <c r="M398" s="1460"/>
      <c r="N398" s="1460"/>
      <c r="O398" s="1460"/>
      <c r="P398" s="1460"/>
      <c r="Q398" s="1460"/>
      <c r="R398" s="1460"/>
      <c r="S398" s="1460"/>
      <c r="T398" s="1460"/>
      <c r="U398" s="1478"/>
      <c r="V398" s="1465"/>
      <c r="W398" s="1465"/>
      <c r="X398" s="1465"/>
      <c r="Y398" s="101"/>
      <c r="Z398" s="1299"/>
      <c r="AA398" s="1299"/>
      <c r="AB398" s="697"/>
      <c r="AC398" s="697"/>
      <c r="AD398" s="697"/>
      <c r="AE398" s="697"/>
      <c r="AF398" s="697"/>
      <c r="AG398" s="63"/>
      <c r="AH398" s="63"/>
      <c r="AI398" s="63"/>
      <c r="AJ398" s="35"/>
    </row>
    <row r="399" spans="2:36" ht="2.25" hidden="1" customHeight="1" thickBot="1" x14ac:dyDescent="0.35">
      <c r="B399" s="1853"/>
      <c r="C399" s="1854"/>
      <c r="D399" s="1854"/>
      <c r="E399" s="1854"/>
      <c r="F399" s="1854"/>
      <c r="G399" s="1854"/>
      <c r="H399" s="1854"/>
      <c r="I399" s="1854"/>
      <c r="J399" s="1855"/>
      <c r="K399" s="1477"/>
      <c r="L399" s="1460"/>
      <c r="M399" s="1460"/>
      <c r="N399" s="1460"/>
      <c r="O399" s="1460"/>
      <c r="P399" s="1460"/>
      <c r="Q399" s="1460"/>
      <c r="R399" s="1460"/>
      <c r="S399" s="1460"/>
      <c r="T399" s="1460"/>
      <c r="U399" s="1478"/>
      <c r="V399" s="1465"/>
      <c r="W399" s="1465"/>
      <c r="X399" s="1465"/>
      <c r="Y399" s="101"/>
      <c r="Z399" s="1299"/>
      <c r="AA399" s="1299"/>
      <c r="AB399" s="697"/>
      <c r="AC399" s="697"/>
      <c r="AD399" s="697"/>
      <c r="AE399" s="697"/>
      <c r="AF399" s="697"/>
      <c r="AG399" s="63"/>
      <c r="AH399" s="63"/>
      <c r="AI399" s="63"/>
      <c r="AJ399" s="35"/>
    </row>
    <row r="400" spans="2:36" ht="15" customHeight="1" thickBot="1" x14ac:dyDescent="0.35">
      <c r="B400" s="1853" t="s">
        <v>523</v>
      </c>
      <c r="C400" s="1854"/>
      <c r="D400" s="1854"/>
      <c r="E400" s="1854"/>
      <c r="F400" s="1854"/>
      <c r="G400" s="1854"/>
      <c r="H400" s="1854"/>
      <c r="I400" s="1854"/>
      <c r="J400" s="1855"/>
      <c r="K400" s="1477"/>
      <c r="L400" s="1460"/>
      <c r="M400" s="1460"/>
      <c r="N400" s="1460"/>
      <c r="O400" s="1460"/>
      <c r="P400" s="1460"/>
      <c r="Q400" s="1460"/>
      <c r="R400" s="1460"/>
      <c r="S400" s="1460"/>
      <c r="T400" s="1460"/>
      <c r="U400" s="1478"/>
      <c r="V400" s="1465"/>
      <c r="W400" s="1465"/>
      <c r="X400" s="1465"/>
      <c r="Y400" s="101"/>
      <c r="Z400" s="1299"/>
      <c r="AA400" s="1299"/>
      <c r="AB400" s="697"/>
      <c r="AC400" s="697"/>
      <c r="AD400" s="697"/>
      <c r="AE400" s="697"/>
      <c r="AF400" s="697"/>
      <c r="AG400" s="63"/>
      <c r="AH400" s="63"/>
      <c r="AI400" s="63"/>
      <c r="AJ400" s="35"/>
    </row>
    <row r="401" spans="2:36" ht="2.25" hidden="1" customHeight="1" thickBot="1" x14ac:dyDescent="0.35">
      <c r="B401" s="1853"/>
      <c r="C401" s="1854"/>
      <c r="D401" s="1854"/>
      <c r="E401" s="1854"/>
      <c r="F401" s="1854"/>
      <c r="G401" s="1854"/>
      <c r="H401" s="1854"/>
      <c r="I401" s="1854"/>
      <c r="J401" s="1855"/>
      <c r="K401" s="1477"/>
      <c r="L401" s="1460"/>
      <c r="M401" s="1460"/>
      <c r="N401" s="1460"/>
      <c r="O401" s="1460"/>
      <c r="P401" s="1460"/>
      <c r="Q401" s="1460"/>
      <c r="R401" s="1460"/>
      <c r="S401" s="1460"/>
      <c r="T401" s="1460"/>
      <c r="U401" s="1478"/>
      <c r="V401" s="1465"/>
      <c r="W401" s="1465"/>
      <c r="X401" s="1465"/>
      <c r="Y401" s="101"/>
      <c r="Z401" s="1299"/>
      <c r="AA401" s="1299"/>
      <c r="AB401" s="697"/>
      <c r="AC401" s="697"/>
      <c r="AD401" s="697"/>
      <c r="AE401" s="697"/>
      <c r="AF401" s="697"/>
      <c r="AG401" s="63"/>
      <c r="AH401" s="63"/>
      <c r="AI401" s="63"/>
      <c r="AJ401" s="35"/>
    </row>
    <row r="402" spans="2:36" ht="15.75" customHeight="1" thickBot="1" x14ac:dyDescent="0.35">
      <c r="B402" s="1853" t="s">
        <v>524</v>
      </c>
      <c r="C402" s="1854"/>
      <c r="D402" s="1854"/>
      <c r="E402" s="1854"/>
      <c r="F402" s="1854"/>
      <c r="G402" s="1854"/>
      <c r="H402" s="1854"/>
      <c r="I402" s="1854"/>
      <c r="J402" s="1855"/>
      <c r="K402" s="1477"/>
      <c r="L402" s="1460"/>
      <c r="M402" s="1460"/>
      <c r="N402" s="1460"/>
      <c r="O402" s="1460"/>
      <c r="P402" s="1460"/>
      <c r="Q402" s="1460"/>
      <c r="R402" s="1460"/>
      <c r="S402" s="1460"/>
      <c r="T402" s="1460"/>
      <c r="U402" s="1478"/>
      <c r="V402" s="1465"/>
      <c r="W402" s="1465"/>
      <c r="X402" s="1465"/>
      <c r="Y402" s="101"/>
      <c r="Z402" s="1299"/>
      <c r="AA402" s="1299"/>
      <c r="AB402" s="697"/>
      <c r="AC402" s="697"/>
      <c r="AD402" s="697"/>
      <c r="AE402" s="697"/>
      <c r="AF402" s="697"/>
      <c r="AG402" s="63"/>
      <c r="AH402" s="63"/>
      <c r="AI402" s="63"/>
      <c r="AJ402" s="35"/>
    </row>
    <row r="403" spans="2:36" ht="15.75" hidden="1" customHeight="1" thickBot="1" x14ac:dyDescent="0.35">
      <c r="B403" s="1853"/>
      <c r="C403" s="1854"/>
      <c r="D403" s="1854"/>
      <c r="E403" s="1854"/>
      <c r="F403" s="1854"/>
      <c r="G403" s="1854"/>
      <c r="H403" s="1854"/>
      <c r="I403" s="1854"/>
      <c r="J403" s="1855"/>
      <c r="K403" s="1477"/>
      <c r="L403" s="1460"/>
      <c r="M403" s="1460"/>
      <c r="N403" s="1460"/>
      <c r="O403" s="1460"/>
      <c r="P403" s="1460"/>
      <c r="Q403" s="1460"/>
      <c r="R403" s="1460"/>
      <c r="S403" s="1460"/>
      <c r="T403" s="1460"/>
      <c r="U403" s="1478"/>
      <c r="V403" s="1465"/>
      <c r="W403" s="1465"/>
      <c r="X403" s="1465"/>
      <c r="Y403" s="101"/>
      <c r="Z403" s="1299"/>
      <c r="AA403" s="1299"/>
      <c r="AB403" s="697"/>
      <c r="AC403" s="697"/>
      <c r="AD403" s="697"/>
      <c r="AE403" s="697"/>
      <c r="AF403" s="697"/>
      <c r="AG403" s="63"/>
      <c r="AH403" s="63"/>
      <c r="AI403" s="63"/>
      <c r="AJ403" s="35"/>
    </row>
    <row r="404" spans="2:36" ht="15.75" customHeight="1" thickBot="1" x14ac:dyDescent="0.35">
      <c r="B404" s="1853" t="s">
        <v>525</v>
      </c>
      <c r="C404" s="1854"/>
      <c r="D404" s="1854"/>
      <c r="E404" s="1854"/>
      <c r="F404" s="1854"/>
      <c r="G404" s="1854"/>
      <c r="H404" s="1854"/>
      <c r="I404" s="1854"/>
      <c r="J404" s="1855"/>
      <c r="K404" s="1477"/>
      <c r="L404" s="1460"/>
      <c r="M404" s="1460"/>
      <c r="N404" s="1460"/>
      <c r="O404" s="1460"/>
      <c r="P404" s="1460"/>
      <c r="Q404" s="1460"/>
      <c r="R404" s="1460"/>
      <c r="S404" s="1460"/>
      <c r="T404" s="1460"/>
      <c r="U404" s="1478"/>
      <c r="V404" s="1465"/>
      <c r="W404" s="1465"/>
      <c r="X404" s="1465"/>
      <c r="Y404" s="101"/>
      <c r="Z404" s="1299"/>
      <c r="AA404" s="1299"/>
      <c r="AB404" s="697"/>
      <c r="AC404" s="697"/>
      <c r="AD404" s="697"/>
      <c r="AE404" s="697"/>
      <c r="AF404" s="697"/>
      <c r="AG404" s="63"/>
      <c r="AH404" s="63"/>
      <c r="AI404" s="63"/>
      <c r="AJ404" s="35"/>
    </row>
    <row r="405" spans="2:36" ht="2.25" customHeight="1" thickBot="1" x14ac:dyDescent="0.35">
      <c r="B405" s="1853"/>
      <c r="C405" s="1854"/>
      <c r="D405" s="1854"/>
      <c r="E405" s="1854"/>
      <c r="F405" s="1854"/>
      <c r="G405" s="1854"/>
      <c r="H405" s="1854"/>
      <c r="I405" s="1854"/>
      <c r="J405" s="1855"/>
      <c r="K405" s="1477"/>
      <c r="L405" s="1460"/>
      <c r="M405" s="1460"/>
      <c r="N405" s="1460"/>
      <c r="O405" s="1460"/>
      <c r="P405" s="1460"/>
      <c r="Q405" s="1460"/>
      <c r="R405" s="1460"/>
      <c r="S405" s="1460"/>
      <c r="T405" s="1460"/>
      <c r="U405" s="1478"/>
      <c r="V405" s="1465"/>
      <c r="W405" s="1465"/>
      <c r="X405" s="1465"/>
      <c r="Y405" s="101"/>
      <c r="Z405" s="1299"/>
      <c r="AA405" s="1299"/>
      <c r="AB405" s="697"/>
      <c r="AC405" s="697"/>
      <c r="AD405" s="697"/>
      <c r="AE405" s="697"/>
      <c r="AF405" s="697"/>
      <c r="AG405" s="63"/>
      <c r="AH405" s="63"/>
      <c r="AI405" s="63"/>
      <c r="AJ405" s="35"/>
    </row>
    <row r="406" spans="2:36" ht="13.5" customHeight="1" thickBot="1" x14ac:dyDescent="0.35">
      <c r="B406" s="1853" t="s">
        <v>526</v>
      </c>
      <c r="C406" s="1854"/>
      <c r="D406" s="1854"/>
      <c r="E406" s="1854"/>
      <c r="F406" s="1854"/>
      <c r="G406" s="1854"/>
      <c r="H406" s="1854"/>
      <c r="I406" s="1854"/>
      <c r="J406" s="1855"/>
      <c r="K406" s="1477"/>
      <c r="L406" s="1460"/>
      <c r="M406" s="1460"/>
      <c r="N406" s="1460"/>
      <c r="O406" s="1460"/>
      <c r="P406" s="1460"/>
      <c r="Q406" s="1460"/>
      <c r="R406" s="1460"/>
      <c r="S406" s="1460"/>
      <c r="T406" s="1460"/>
      <c r="U406" s="1478"/>
      <c r="V406" s="1465"/>
      <c r="W406" s="1465"/>
      <c r="X406" s="1465"/>
      <c r="Y406" s="101"/>
      <c r="Z406" s="1299"/>
      <c r="AA406" s="1299"/>
      <c r="AB406" s="697"/>
      <c r="AC406" s="697"/>
      <c r="AD406" s="697"/>
      <c r="AE406" s="697"/>
      <c r="AF406" s="697"/>
      <c r="AG406" s="63"/>
      <c r="AH406" s="63"/>
      <c r="AI406" s="63"/>
      <c r="AJ406" s="35"/>
    </row>
    <row r="407" spans="2:36" ht="15.75" hidden="1" customHeight="1" thickBot="1" x14ac:dyDescent="0.35">
      <c r="B407" s="1853"/>
      <c r="C407" s="1854"/>
      <c r="D407" s="1854"/>
      <c r="E407" s="1854"/>
      <c r="F407" s="1854"/>
      <c r="G407" s="1854"/>
      <c r="H407" s="1854"/>
      <c r="I407" s="1854"/>
      <c r="J407" s="1855"/>
      <c r="K407" s="1477"/>
      <c r="L407" s="1460"/>
      <c r="M407" s="1460"/>
      <c r="N407" s="1460"/>
      <c r="O407" s="1460"/>
      <c r="P407" s="1460"/>
      <c r="Q407" s="1460"/>
      <c r="R407" s="1460"/>
      <c r="S407" s="1460"/>
      <c r="T407" s="1460"/>
      <c r="U407" s="1478"/>
      <c r="V407" s="1465"/>
      <c r="W407" s="1465"/>
      <c r="X407" s="1465"/>
      <c r="Y407" s="101"/>
      <c r="Z407" s="1299"/>
      <c r="AA407" s="1299"/>
      <c r="AB407" s="697"/>
      <c r="AC407" s="697"/>
      <c r="AD407" s="697"/>
      <c r="AE407" s="697"/>
      <c r="AF407" s="697"/>
      <c r="AG407" s="63"/>
      <c r="AH407" s="63"/>
      <c r="AI407" s="63"/>
      <c r="AJ407" s="35"/>
    </row>
    <row r="408" spans="2:36" ht="15.75" customHeight="1" thickBot="1" x14ac:dyDescent="0.35">
      <c r="B408" s="1853" t="s">
        <v>527</v>
      </c>
      <c r="C408" s="1854"/>
      <c r="D408" s="1854"/>
      <c r="E408" s="1854"/>
      <c r="F408" s="1854"/>
      <c r="G408" s="1854"/>
      <c r="H408" s="1854"/>
      <c r="I408" s="1854"/>
      <c r="J408" s="1855"/>
      <c r="K408" s="1477"/>
      <c r="L408" s="1460"/>
      <c r="M408" s="1460"/>
      <c r="N408" s="1460"/>
      <c r="O408" s="1460"/>
      <c r="P408" s="1460"/>
      <c r="Q408" s="1460"/>
      <c r="R408" s="1460"/>
      <c r="S408" s="1460"/>
      <c r="T408" s="1460"/>
      <c r="U408" s="1478"/>
      <c r="V408" s="1465"/>
      <c r="W408" s="1465"/>
      <c r="X408" s="1465"/>
      <c r="Y408" s="101"/>
      <c r="Z408" s="1299"/>
      <c r="AA408" s="1299"/>
      <c r="AB408" s="697"/>
      <c r="AC408" s="697"/>
      <c r="AD408" s="697"/>
      <c r="AE408" s="697"/>
      <c r="AF408" s="697"/>
      <c r="AG408" s="63"/>
      <c r="AH408" s="63"/>
      <c r="AI408" s="63"/>
      <c r="AJ408" s="35"/>
    </row>
    <row r="409" spans="2:36" ht="0.75" customHeight="1" thickBot="1" x14ac:dyDescent="0.35">
      <c r="B409" s="1853"/>
      <c r="C409" s="1854"/>
      <c r="D409" s="1854"/>
      <c r="E409" s="1854"/>
      <c r="F409" s="1854"/>
      <c r="G409" s="1854"/>
      <c r="H409" s="1854"/>
      <c r="I409" s="1854"/>
      <c r="J409" s="1855"/>
      <c r="K409" s="1477"/>
      <c r="L409" s="1460"/>
      <c r="M409" s="1460"/>
      <c r="N409" s="1460"/>
      <c r="O409" s="1460"/>
      <c r="P409" s="1460"/>
      <c r="Q409" s="1460"/>
      <c r="R409" s="1460"/>
      <c r="S409" s="1460"/>
      <c r="T409" s="1460"/>
      <c r="U409" s="1478"/>
      <c r="V409" s="1465"/>
      <c r="W409" s="1465"/>
      <c r="X409" s="1465"/>
      <c r="Y409" s="101"/>
      <c r="Z409" s="1299"/>
      <c r="AA409" s="1299"/>
      <c r="AB409" s="697"/>
      <c r="AC409" s="697"/>
      <c r="AD409" s="697"/>
      <c r="AE409" s="697"/>
      <c r="AF409" s="697"/>
      <c r="AG409" s="63"/>
      <c r="AH409" s="63"/>
      <c r="AI409" s="63"/>
      <c r="AJ409" s="35"/>
    </row>
    <row r="410" spans="2:36" ht="15" customHeight="1" thickBot="1" x14ac:dyDescent="0.35">
      <c r="B410" s="1853" t="s">
        <v>528</v>
      </c>
      <c r="C410" s="1854"/>
      <c r="D410" s="1854"/>
      <c r="E410" s="1854"/>
      <c r="F410" s="1854"/>
      <c r="G410" s="1854"/>
      <c r="H410" s="1854"/>
      <c r="I410" s="1854"/>
      <c r="J410" s="1855"/>
      <c r="K410" s="1477"/>
      <c r="L410" s="1460"/>
      <c r="M410" s="1460"/>
      <c r="N410" s="1460"/>
      <c r="O410" s="1460"/>
      <c r="P410" s="1460"/>
      <c r="Q410" s="1460"/>
      <c r="R410" s="1460"/>
      <c r="S410" s="1460"/>
      <c r="T410" s="1460"/>
      <c r="U410" s="1478"/>
      <c r="V410" s="1465"/>
      <c r="W410" s="1465"/>
      <c r="X410" s="1465"/>
      <c r="Y410" s="101"/>
      <c r="Z410" s="1299"/>
      <c r="AA410" s="1299"/>
      <c r="AB410" s="697"/>
      <c r="AC410" s="697"/>
      <c r="AD410" s="697"/>
      <c r="AE410" s="697"/>
      <c r="AF410" s="697"/>
      <c r="AG410" s="63"/>
      <c r="AH410" s="63"/>
      <c r="AI410" s="63"/>
      <c r="AJ410" s="35"/>
    </row>
    <row r="411" spans="2:36" ht="15.75" hidden="1" customHeight="1" thickBot="1" x14ac:dyDescent="0.35">
      <c r="B411" s="1853"/>
      <c r="C411" s="1854"/>
      <c r="D411" s="1854"/>
      <c r="E411" s="1854"/>
      <c r="F411" s="1854"/>
      <c r="G411" s="1854"/>
      <c r="H411" s="1854"/>
      <c r="I411" s="1854"/>
      <c r="J411" s="1855"/>
      <c r="K411" s="1477"/>
      <c r="L411" s="1460"/>
      <c r="M411" s="1460"/>
      <c r="N411" s="1460"/>
      <c r="O411" s="1460"/>
      <c r="P411" s="1460"/>
      <c r="Q411" s="1460"/>
      <c r="R411" s="1460"/>
      <c r="S411" s="1460"/>
      <c r="T411" s="1460"/>
      <c r="U411" s="1435"/>
      <c r="V411" s="1479"/>
      <c r="W411" s="1479"/>
      <c r="X411" s="1479"/>
      <c r="Y411" s="101"/>
      <c r="Z411" s="1299"/>
      <c r="AA411" s="1299"/>
      <c r="AB411" s="697"/>
      <c r="AC411" s="697"/>
      <c r="AD411" s="697"/>
      <c r="AE411" s="697"/>
      <c r="AF411" s="697"/>
      <c r="AG411" s="63"/>
      <c r="AH411" s="63"/>
      <c r="AI411" s="63"/>
      <c r="AJ411" s="35"/>
    </row>
    <row r="412" spans="2:36" ht="15.75" customHeight="1" thickBot="1" x14ac:dyDescent="0.35">
      <c r="B412" s="1853" t="s">
        <v>529</v>
      </c>
      <c r="C412" s="1854"/>
      <c r="D412" s="1854"/>
      <c r="E412" s="1854"/>
      <c r="F412" s="1854"/>
      <c r="G412" s="1854"/>
      <c r="H412" s="1854"/>
      <c r="I412" s="1854"/>
      <c r="J412" s="1855"/>
      <c r="K412" s="1477"/>
      <c r="L412" s="1460"/>
      <c r="M412" s="1460"/>
      <c r="N412" s="1460"/>
      <c r="O412" s="1460"/>
      <c r="P412" s="1460"/>
      <c r="Q412" s="1460"/>
      <c r="R412" s="1460"/>
      <c r="S412" s="1460"/>
      <c r="T412" s="1460"/>
      <c r="U412" s="1435"/>
      <c r="V412" s="1465"/>
      <c r="W412" s="1465"/>
      <c r="X412" s="1465"/>
      <c r="Y412" s="101"/>
      <c r="Z412" s="1299"/>
      <c r="AA412" s="1299"/>
      <c r="AB412" s="697"/>
      <c r="AC412" s="697"/>
      <c r="AD412" s="697"/>
      <c r="AE412" s="697"/>
      <c r="AF412" s="697"/>
      <c r="AG412" s="63"/>
      <c r="AH412" s="63"/>
      <c r="AI412" s="63"/>
      <c r="AJ412" s="35"/>
    </row>
    <row r="413" spans="2:36" ht="31" customHeight="1" thickBot="1" x14ac:dyDescent="0.35">
      <c r="B413" s="1853" t="s">
        <v>617</v>
      </c>
      <c r="C413" s="1854"/>
      <c r="D413" s="1854"/>
      <c r="E413" s="1854"/>
      <c r="F413" s="1854"/>
      <c r="G413" s="1854"/>
      <c r="H413" s="1854"/>
      <c r="I413" s="1854"/>
      <c r="J413" s="1855"/>
      <c r="K413" s="1477"/>
      <c r="L413" s="1460"/>
      <c r="M413" s="1460"/>
      <c r="N413" s="1460"/>
      <c r="O413" s="1460"/>
      <c r="P413" s="1460"/>
      <c r="Q413" s="1460"/>
      <c r="R413" s="1460"/>
      <c r="S413" s="1460"/>
      <c r="T413" s="1460"/>
      <c r="U413" s="1435"/>
      <c r="V413" s="1625">
        <v>200000</v>
      </c>
      <c r="W413" s="1625">
        <v>100000</v>
      </c>
      <c r="X413" s="1625">
        <v>100000</v>
      </c>
      <c r="Y413" s="101"/>
      <c r="Z413" s="1299"/>
      <c r="AA413" s="1299"/>
      <c r="AB413" s="697"/>
      <c r="AC413" s="697"/>
      <c r="AD413" s="697"/>
      <c r="AE413" s="697"/>
      <c r="AF413" s="697"/>
      <c r="AG413" s="63"/>
      <c r="AH413" s="63"/>
      <c r="AI413" s="63"/>
      <c r="AJ413" s="35"/>
    </row>
    <row r="414" spans="2:36" ht="15.75" customHeight="1" thickBot="1" x14ac:dyDescent="0.35">
      <c r="B414" s="1853" t="s">
        <v>530</v>
      </c>
      <c r="C414" s="1854"/>
      <c r="D414" s="1854"/>
      <c r="E414" s="1854"/>
      <c r="F414" s="1854"/>
      <c r="G414" s="1854"/>
      <c r="H414" s="1854"/>
      <c r="I414" s="1854"/>
      <c r="J414" s="1855"/>
      <c r="K414" s="1477"/>
      <c r="L414" s="1460"/>
      <c r="M414" s="1460"/>
      <c r="N414" s="1460"/>
      <c r="O414" s="1460"/>
      <c r="P414" s="1460"/>
      <c r="Q414" s="1460"/>
      <c r="R414" s="1460"/>
      <c r="S414" s="1460"/>
      <c r="T414" s="1460"/>
      <c r="U414" s="1435"/>
      <c r="V414" s="1625"/>
      <c r="W414" s="1625"/>
      <c r="X414" s="1625"/>
      <c r="Y414" s="101"/>
      <c r="Z414" s="1299"/>
      <c r="AA414" s="1299"/>
      <c r="AB414" s="697"/>
      <c r="AC414" s="697"/>
      <c r="AD414" s="697"/>
      <c r="AE414" s="697"/>
      <c r="AF414" s="697"/>
      <c r="AG414" s="63"/>
      <c r="AH414" s="63"/>
      <c r="AI414" s="63"/>
      <c r="AJ414" s="35"/>
    </row>
    <row r="415" spans="2:36" ht="15.75" customHeight="1" thickBot="1" x14ac:dyDescent="0.35">
      <c r="B415" s="1853" t="s">
        <v>531</v>
      </c>
      <c r="C415" s="1854"/>
      <c r="D415" s="1854"/>
      <c r="E415" s="1854"/>
      <c r="F415" s="1854"/>
      <c r="G415" s="1854"/>
      <c r="H415" s="1854"/>
      <c r="I415" s="1854"/>
      <c r="J415" s="1855"/>
      <c r="K415" s="1477"/>
      <c r="L415" s="1460"/>
      <c r="M415" s="1460"/>
      <c r="N415" s="1460"/>
      <c r="O415" s="1460"/>
      <c r="P415" s="1460"/>
      <c r="Q415" s="1460"/>
      <c r="R415" s="1460"/>
      <c r="S415" s="1460"/>
      <c r="T415" s="1460"/>
      <c r="U415" s="1435"/>
      <c r="V415" s="1625"/>
      <c r="W415" s="1625"/>
      <c r="X415" s="1625"/>
      <c r="Y415" s="101"/>
      <c r="Z415" s="1299"/>
      <c r="AA415" s="1299"/>
      <c r="AB415" s="697"/>
      <c r="AC415" s="697"/>
      <c r="AD415" s="697"/>
      <c r="AE415" s="697"/>
      <c r="AF415" s="697"/>
      <c r="AG415" s="63"/>
      <c r="AH415" s="63"/>
      <c r="AI415" s="63"/>
      <c r="AJ415" s="35"/>
    </row>
    <row r="416" spans="2:36" ht="15.75" customHeight="1" thickBot="1" x14ac:dyDescent="0.35">
      <c r="B416" s="1926" t="s">
        <v>532</v>
      </c>
      <c r="C416" s="1927"/>
      <c r="D416" s="1927"/>
      <c r="E416" s="1927"/>
      <c r="F416" s="1927"/>
      <c r="G416" s="1927"/>
      <c r="H416" s="1927"/>
      <c r="I416" s="1927"/>
      <c r="J416" s="1928"/>
      <c r="K416" s="1480"/>
      <c r="L416" s="1481"/>
      <c r="M416" s="1481"/>
      <c r="N416" s="1481"/>
      <c r="O416" s="1481"/>
      <c r="P416" s="1481"/>
      <c r="Q416" s="1481"/>
      <c r="R416" s="1481"/>
      <c r="S416" s="1481"/>
      <c r="T416" s="1481"/>
      <c r="U416" s="1482"/>
      <c r="V416" s="1658"/>
      <c r="W416" s="1658"/>
      <c r="X416" s="1658"/>
      <c r="Y416" s="101"/>
      <c r="Z416" s="1592"/>
      <c r="AA416" s="1592"/>
      <c r="AB416" s="697"/>
      <c r="AC416" s="697"/>
      <c r="AD416" s="697"/>
      <c r="AE416" s="697"/>
      <c r="AF416" s="697"/>
      <c r="AG416" s="63"/>
      <c r="AH416" s="63"/>
      <c r="AI416" s="63"/>
      <c r="AJ416" s="35"/>
    </row>
    <row r="417" spans="2:36" ht="26.25" customHeight="1" thickBot="1" x14ac:dyDescent="0.35">
      <c r="B417" s="1850" t="s">
        <v>605</v>
      </c>
      <c r="C417" s="1851"/>
      <c r="D417" s="1851"/>
      <c r="E417" s="1851"/>
      <c r="F417" s="1851"/>
      <c r="G417" s="1851"/>
      <c r="H417" s="1851"/>
      <c r="I417" s="1851"/>
      <c r="J417" s="1852"/>
      <c r="K417" s="1480"/>
      <c r="L417" s="1481"/>
      <c r="M417" s="1481"/>
      <c r="N417" s="1481"/>
      <c r="O417" s="1481"/>
      <c r="P417" s="1481"/>
      <c r="Q417" s="1481"/>
      <c r="R417" s="1481"/>
      <c r="S417" s="1481"/>
      <c r="T417" s="1481"/>
      <c r="U417" s="1482"/>
      <c r="V417" s="1659">
        <f>W417+X417</f>
        <v>2400000</v>
      </c>
      <c r="W417" s="1660">
        <v>1200000</v>
      </c>
      <c r="X417" s="1660">
        <v>1200000</v>
      </c>
      <c r="Y417" s="101"/>
      <c r="Z417" s="1299"/>
      <c r="AA417" s="1299"/>
      <c r="AB417" s="697"/>
      <c r="AC417" s="697"/>
      <c r="AD417" s="697"/>
      <c r="AE417" s="697"/>
      <c r="AF417" s="697"/>
      <c r="AG417" s="63"/>
      <c r="AH417" s="63"/>
      <c r="AI417" s="63"/>
      <c r="AJ417" s="35"/>
    </row>
    <row r="418" spans="2:36" ht="16" thickBot="1" x14ac:dyDescent="0.4">
      <c r="B418" s="1483" t="s">
        <v>563</v>
      </c>
      <c r="C418" s="1484"/>
      <c r="D418" s="1484"/>
      <c r="E418" s="1484"/>
      <c r="F418" s="1484"/>
      <c r="G418" s="1484"/>
      <c r="H418" s="1484"/>
      <c r="I418" s="1484"/>
      <c r="J418" s="1484"/>
      <c r="K418" s="1485"/>
      <c r="L418" s="1414"/>
      <c r="M418" s="1381"/>
      <c r="N418" s="1382"/>
      <c r="O418" s="1382"/>
      <c r="P418" s="1381"/>
      <c r="Q418" s="1381"/>
      <c r="R418" s="1382"/>
      <c r="S418" s="1381"/>
      <c r="T418" s="1381"/>
      <c r="U418" s="1316"/>
      <c r="V418" s="1627">
        <f>W418+X418</f>
        <v>200000</v>
      </c>
      <c r="W418" s="1613">
        <f>W419+W420</f>
        <v>50000</v>
      </c>
      <c r="X418" s="1613">
        <f>X419+X420</f>
        <v>150000</v>
      </c>
      <c r="Y418" s="101"/>
      <c r="Z418" s="697"/>
      <c r="AA418" s="697"/>
      <c r="AB418" s="697"/>
      <c r="AC418" s="697"/>
      <c r="AD418" s="697"/>
      <c r="AE418" s="697"/>
      <c r="AF418" s="697"/>
      <c r="AG418" s="63"/>
      <c r="AH418" s="63"/>
      <c r="AI418" s="63"/>
      <c r="AJ418" s="35"/>
    </row>
    <row r="419" spans="2:36" ht="13.5" thickBot="1" x14ac:dyDescent="0.35">
      <c r="B419" s="89" t="s">
        <v>246</v>
      </c>
      <c r="C419" s="90"/>
      <c r="D419" s="90"/>
      <c r="E419" s="90"/>
      <c r="F419" s="90"/>
      <c r="G419" s="90"/>
      <c r="H419" s="90"/>
      <c r="I419" s="90"/>
      <c r="J419" s="1403"/>
      <c r="K419" s="1418"/>
      <c r="L419" s="1311"/>
      <c r="M419" s="1451"/>
      <c r="N419" s="1452"/>
      <c r="O419" s="1452"/>
      <c r="P419" s="1451"/>
      <c r="Q419" s="1451"/>
      <c r="R419" s="1452"/>
      <c r="S419" s="1451"/>
      <c r="T419" s="1451"/>
      <c r="U419" s="84"/>
      <c r="V419" s="1628">
        <f>W419+X419</f>
        <v>200000</v>
      </c>
      <c r="W419" s="1629">
        <v>50000</v>
      </c>
      <c r="X419" s="1629">
        <v>150000</v>
      </c>
      <c r="Y419" s="101"/>
      <c r="Z419" s="697"/>
      <c r="AA419" s="697"/>
      <c r="AB419" s="697"/>
      <c r="AC419" s="697"/>
      <c r="AD419" s="697"/>
      <c r="AE419" s="697"/>
      <c r="AF419" s="697"/>
      <c r="AG419" s="63"/>
      <c r="AH419" s="63"/>
      <c r="AI419" s="63"/>
      <c r="AJ419" s="35"/>
    </row>
    <row r="420" spans="2:36" ht="13.5" thickBot="1" x14ac:dyDescent="0.35">
      <c r="B420" s="1472" t="s">
        <v>247</v>
      </c>
      <c r="C420" s="91"/>
      <c r="D420" s="91"/>
      <c r="E420" s="91"/>
      <c r="F420" s="91"/>
      <c r="G420" s="91"/>
      <c r="H420" s="91"/>
      <c r="I420" s="91"/>
      <c r="J420" s="1418"/>
      <c r="K420" s="1418"/>
      <c r="L420" s="1311"/>
      <c r="M420" s="1451"/>
      <c r="N420" s="1452"/>
      <c r="O420" s="1452"/>
      <c r="P420" s="1451"/>
      <c r="Q420" s="1451"/>
      <c r="R420" s="1452"/>
      <c r="S420" s="1451"/>
      <c r="T420" s="1451"/>
      <c r="U420" s="84"/>
      <c r="V420" s="1661"/>
      <c r="W420" s="1611"/>
      <c r="X420" s="1611"/>
      <c r="Y420" s="101"/>
      <c r="Z420" s="697"/>
      <c r="AA420" s="697"/>
      <c r="AB420" s="697"/>
      <c r="AC420" s="697"/>
      <c r="AD420" s="697"/>
      <c r="AE420" s="697"/>
      <c r="AF420" s="697"/>
      <c r="AG420" s="63"/>
      <c r="AH420" s="63"/>
      <c r="AI420" s="63"/>
      <c r="AJ420" s="35"/>
    </row>
    <row r="421" spans="2:36" ht="13.5" thickBot="1" x14ac:dyDescent="0.35">
      <c r="B421" s="1306" t="s">
        <v>248</v>
      </c>
      <c r="C421" s="1428"/>
      <c r="D421" s="1428"/>
      <c r="E421" s="1428"/>
      <c r="F421" s="1428"/>
      <c r="G421" s="1428"/>
      <c r="H421" s="1428"/>
      <c r="I421" s="1428"/>
      <c r="J421" s="1424"/>
      <c r="K421" s="1424"/>
      <c r="L421" s="1311"/>
      <c r="M421" s="1451"/>
      <c r="N421" s="1452"/>
      <c r="O421" s="1452"/>
      <c r="P421" s="1451"/>
      <c r="Q421" s="1451"/>
      <c r="R421" s="1452"/>
      <c r="S421" s="1451"/>
      <c r="T421" s="1451"/>
      <c r="U421" s="84"/>
      <c r="V421" s="1662"/>
      <c r="W421" s="1663"/>
      <c r="X421" s="1663"/>
      <c r="Y421" s="101"/>
      <c r="Z421" s="697"/>
      <c r="AA421" s="697"/>
      <c r="AB421" s="697"/>
      <c r="AC421" s="697"/>
      <c r="AD421" s="697"/>
      <c r="AE421" s="697"/>
      <c r="AF421" s="697"/>
      <c r="AG421" s="63"/>
      <c r="AH421" s="63"/>
      <c r="AI421" s="63"/>
      <c r="AJ421" s="35"/>
    </row>
    <row r="422" spans="2:36" ht="16" thickBot="1" x14ac:dyDescent="0.4">
      <c r="B422" s="1486" t="s">
        <v>249</v>
      </c>
      <c r="C422" s="91"/>
      <c r="D422" s="91"/>
      <c r="E422" s="91"/>
      <c r="F422" s="91"/>
      <c r="G422" s="91"/>
      <c r="H422" s="91"/>
      <c r="I422" s="91"/>
      <c r="J422" s="91"/>
      <c r="K422" s="1418"/>
      <c r="L422" s="1311"/>
      <c r="M422" s="1451"/>
      <c r="N422" s="1452"/>
      <c r="O422" s="1452"/>
      <c r="P422" s="1451"/>
      <c r="Q422" s="1451"/>
      <c r="R422" s="1452"/>
      <c r="S422" s="1451"/>
      <c r="T422" s="1451"/>
      <c r="U422" s="84"/>
      <c r="V422" s="1664">
        <f>W422</f>
        <v>0</v>
      </c>
      <c r="W422" s="1665">
        <f>W423+W424+W425</f>
        <v>0</v>
      </c>
      <c r="X422" s="1665">
        <f>X423+X424+X425</f>
        <v>0</v>
      </c>
      <c r="Y422" s="101"/>
      <c r="Z422" s="697"/>
      <c r="AA422" s="697"/>
      <c r="AB422" s="697"/>
      <c r="AC422" s="697"/>
      <c r="AD422" s="697"/>
      <c r="AE422" s="697"/>
      <c r="AF422" s="697"/>
      <c r="AG422" s="63"/>
      <c r="AH422" s="63"/>
      <c r="AI422" s="63"/>
      <c r="AJ422" s="35"/>
    </row>
    <row r="423" spans="2:36" ht="13.5" thickBot="1" x14ac:dyDescent="0.35">
      <c r="B423" s="1472" t="s">
        <v>250</v>
      </c>
      <c r="C423" s="91"/>
      <c r="D423" s="91"/>
      <c r="E423" s="91"/>
      <c r="F423" s="91"/>
      <c r="G423" s="91"/>
      <c r="H423" s="91"/>
      <c r="I423" s="91"/>
      <c r="J423" s="91"/>
      <c r="K423" s="1418"/>
      <c r="L423" s="1311"/>
      <c r="M423" s="1451"/>
      <c r="N423" s="1452"/>
      <c r="O423" s="1452"/>
      <c r="P423" s="1451"/>
      <c r="Q423" s="1451"/>
      <c r="R423" s="1452"/>
      <c r="S423" s="1451"/>
      <c r="T423" s="1451"/>
      <c r="U423" s="84"/>
      <c r="V423" s="1666"/>
      <c r="W423" s="1626"/>
      <c r="X423" s="1626"/>
      <c r="Y423" s="101"/>
      <c r="Z423" s="697"/>
      <c r="AA423" s="697"/>
      <c r="AB423" s="697"/>
      <c r="AC423" s="697"/>
      <c r="AD423" s="697"/>
      <c r="AE423" s="697"/>
      <c r="AF423" s="697"/>
      <c r="AG423" s="63"/>
      <c r="AH423" s="63"/>
      <c r="AI423" s="63"/>
      <c r="AJ423" s="35"/>
    </row>
    <row r="424" spans="2:36" ht="13.5" thickBot="1" x14ac:dyDescent="0.35">
      <c r="B424" s="1472" t="s">
        <v>251</v>
      </c>
      <c r="C424" s="91"/>
      <c r="D424" s="91"/>
      <c r="E424" s="91"/>
      <c r="F424" s="91"/>
      <c r="G424" s="91"/>
      <c r="H424" s="91"/>
      <c r="I424" s="91"/>
      <c r="J424" s="91"/>
      <c r="K424" s="1418"/>
      <c r="L424" s="1311"/>
      <c r="M424" s="1451"/>
      <c r="N424" s="1452"/>
      <c r="O424" s="1452"/>
      <c r="P424" s="1451"/>
      <c r="Q424" s="1451"/>
      <c r="R424" s="1452"/>
      <c r="S424" s="1451"/>
      <c r="T424" s="1451"/>
      <c r="U424" s="84"/>
      <c r="V424" s="1666"/>
      <c r="W424" s="1626"/>
      <c r="X424" s="1626"/>
      <c r="Y424" s="101"/>
      <c r="Z424" s="697"/>
      <c r="AA424" s="697"/>
      <c r="AB424" s="697"/>
      <c r="AC424" s="697"/>
      <c r="AD424" s="697"/>
      <c r="AE424" s="697"/>
      <c r="AF424" s="697"/>
      <c r="AG424" s="63"/>
      <c r="AH424" s="63"/>
      <c r="AI424" s="63"/>
      <c r="AJ424" s="35"/>
    </row>
    <row r="425" spans="2:36" ht="13.5" thickBot="1" x14ac:dyDescent="0.35">
      <c r="B425" s="1891" t="s">
        <v>252</v>
      </c>
      <c r="C425" s="1892"/>
      <c r="D425" s="1892"/>
      <c r="E425" s="1892"/>
      <c r="F425" s="1892"/>
      <c r="G425" s="1892"/>
      <c r="H425" s="1892"/>
      <c r="I425" s="1892"/>
      <c r="J425" s="1892"/>
      <c r="K425" s="1893"/>
      <c r="L425" s="1311"/>
      <c r="M425" s="1451"/>
      <c r="N425" s="1452"/>
      <c r="O425" s="1452"/>
      <c r="P425" s="1451"/>
      <c r="Q425" s="1451"/>
      <c r="R425" s="1452"/>
      <c r="S425" s="1451"/>
      <c r="T425" s="1451"/>
      <c r="U425" s="84"/>
      <c r="V425" s="1667"/>
      <c r="W425" s="1668"/>
      <c r="X425" s="1668"/>
      <c r="Y425" s="101"/>
      <c r="Z425" s="697"/>
      <c r="AA425" s="697"/>
      <c r="AB425" s="697"/>
      <c r="AC425" s="697"/>
      <c r="AD425" s="697"/>
      <c r="AE425" s="697"/>
      <c r="AF425" s="697"/>
      <c r="AG425" s="63"/>
      <c r="AH425" s="63"/>
      <c r="AI425" s="63"/>
      <c r="AJ425" s="35"/>
    </row>
    <row r="426" spans="2:36" ht="14.5" thickBot="1" x14ac:dyDescent="0.35">
      <c r="B426" s="1487" t="s">
        <v>476</v>
      </c>
      <c r="C426" s="1488"/>
      <c r="D426" s="1488"/>
      <c r="E426" s="1488"/>
      <c r="F426" s="1428"/>
      <c r="G426" s="1428"/>
      <c r="H426" s="1428"/>
      <c r="I426" s="1428"/>
      <c r="J426" s="1428"/>
      <c r="K426" s="1489"/>
      <c r="L426" s="1380" t="e">
        <f>M426+N426</f>
        <v>#REF!</v>
      </c>
      <c r="M426" s="1381" t="e">
        <f>M297+#REF!+M300+M301+#REF!+#REF!+#REF!+M348+#REF!+M373+#REF!+#REF!</f>
        <v>#REF!</v>
      </c>
      <c r="N426" s="1382" t="e">
        <f>N297+#REF!+N300+N301+#REF!+#REF!+#REF!+N348+#REF!+N373+#REF!+#REF!</f>
        <v>#REF!</v>
      </c>
      <c r="O426" s="1315" t="e">
        <f t="shared" si="36"/>
        <v>#REF!</v>
      </c>
      <c r="P426" s="1375" t="e">
        <f>P297+#REF!+P300+P301+P326+P348+P374+P388</f>
        <v>#REF!</v>
      </c>
      <c r="Q426" s="1375" t="e">
        <f>Q297+#REF!+Q300+Q301+Q326+Q348+Q374+Q388</f>
        <v>#REF!</v>
      </c>
      <c r="R426" s="1315" t="e">
        <f t="shared" si="37"/>
        <v>#REF!</v>
      </c>
      <c r="S426" s="1375" t="e">
        <f>S297+#REF!+S300+S301+S326+S348+S374+S388</f>
        <v>#REF!</v>
      </c>
      <c r="T426" s="1375" t="e">
        <f>T297+#REF!+T300+T301+T326+T348+T374+T388</f>
        <v>#REF!</v>
      </c>
      <c r="U426" s="84"/>
      <c r="V426" s="1669">
        <f>W426+X426</f>
        <v>7672302</v>
      </c>
      <c r="W426" s="1670">
        <f>W297+W315+W321+W349+W358+W377+W388+W419+W422</f>
        <v>3819302</v>
      </c>
      <c r="X426" s="1670">
        <f>X297+X315+X321+X349+X358+X377+X388+X419+X422</f>
        <v>3853000</v>
      </c>
      <c r="Y426" s="768">
        <f>SUM(Y297:Y395)</f>
        <v>0</v>
      </c>
      <c r="Z426" s="51"/>
      <c r="AA426" s="769"/>
      <c r="AB426" s="769"/>
      <c r="AC426" s="769"/>
      <c r="AD426" s="769"/>
      <c r="AE426" s="769"/>
      <c r="AF426" s="770"/>
      <c r="AG426" s="158"/>
      <c r="AH426" s="158"/>
      <c r="AI426" s="148"/>
      <c r="AJ426" s="35"/>
    </row>
    <row r="427" spans="2:36" ht="13.5" customHeight="1" thickBot="1" x14ac:dyDescent="0.4">
      <c r="B427" s="1490" t="s">
        <v>475</v>
      </c>
      <c r="C427" s="1491"/>
      <c r="D427" s="1491"/>
      <c r="E427" s="1491"/>
      <c r="F427" s="1491"/>
      <c r="G427" s="1491"/>
      <c r="H427" s="1491"/>
      <c r="I427" s="1491"/>
      <c r="J427" s="1492"/>
      <c r="K427" s="1493"/>
      <c r="L427" s="1383" t="s">
        <v>256</v>
      </c>
      <c r="M427" s="1384" t="e">
        <f>M293-M426</f>
        <v>#REF!</v>
      </c>
      <c r="N427" s="1315" t="e">
        <f>N293-N426</f>
        <v>#REF!</v>
      </c>
      <c r="O427" s="1385" t="e">
        <f t="shared" si="36"/>
        <v>#REF!</v>
      </c>
      <c r="P427" s="1384" t="e">
        <f>P293-P426</f>
        <v>#REF!</v>
      </c>
      <c r="Q427" s="1315" t="e">
        <f>Q293-Q426</f>
        <v>#REF!</v>
      </c>
      <c r="R427" s="1385" t="e">
        <f t="shared" si="37"/>
        <v>#REF!</v>
      </c>
      <c r="S427" s="1384" t="e">
        <f>S293-S426</f>
        <v>#REF!</v>
      </c>
      <c r="T427" s="1315" t="e">
        <f>T293-T426</f>
        <v>#REF!</v>
      </c>
      <c r="U427" s="84"/>
      <c r="V427" s="1671">
        <f>V293-V426</f>
        <v>-3985158.5</v>
      </c>
      <c r="W427" s="1671">
        <f>W293-W426</f>
        <v>-1968972.52</v>
      </c>
      <c r="X427" s="1671">
        <f>X293-X426</f>
        <v>-2016185.98</v>
      </c>
      <c r="Y427" s="782">
        <f>Y293-Y426</f>
        <v>1662341.18</v>
      </c>
      <c r="Z427" s="694"/>
      <c r="AA427" s="769"/>
      <c r="AB427" s="769"/>
      <c r="AC427" s="769"/>
      <c r="AD427" s="769"/>
      <c r="AE427" s="769"/>
      <c r="AF427" s="322"/>
      <c r="AG427" s="35"/>
      <c r="AH427" s="783"/>
      <c r="AI427" s="784"/>
      <c r="AJ427" s="35"/>
    </row>
    <row r="428" spans="2:36" ht="16" thickBot="1" x14ac:dyDescent="0.4">
      <c r="B428" s="1859" t="s">
        <v>477</v>
      </c>
      <c r="C428" s="1860"/>
      <c r="D428" s="1860"/>
      <c r="E428" s="1860"/>
      <c r="F428" s="1860"/>
      <c r="G428" s="1860"/>
      <c r="H428" s="1860"/>
      <c r="I428" s="1860"/>
      <c r="J428" s="1860"/>
      <c r="K428" s="1861"/>
      <c r="L428" s="1389"/>
      <c r="M428" s="1389"/>
      <c r="N428" s="1389"/>
      <c r="O428" s="84"/>
      <c r="P428" s="84"/>
      <c r="Q428" s="84"/>
      <c r="R428" s="84"/>
      <c r="S428" s="84"/>
      <c r="T428" s="84"/>
      <c r="U428" s="84"/>
      <c r="V428" s="1672">
        <f>W428+X428</f>
        <v>8698224.1799999997</v>
      </c>
      <c r="W428" s="1551">
        <f>W292+W427</f>
        <v>4391774.2699999996</v>
      </c>
      <c r="X428" s="1551">
        <f>X292+X427</f>
        <v>4306449.91</v>
      </c>
      <c r="AG428" s="35"/>
      <c r="AH428" s="35"/>
      <c r="AI428" s="35"/>
      <c r="AJ428" s="35"/>
    </row>
    <row r="429" spans="2:36" ht="23.5" customHeight="1" x14ac:dyDescent="0.35">
      <c r="B429" s="1012" t="s">
        <v>308</v>
      </c>
      <c r="C429" s="1013"/>
      <c r="D429" s="1013"/>
      <c r="E429" s="1013"/>
      <c r="F429" s="1013"/>
      <c r="G429" s="1013"/>
      <c r="H429" s="1013"/>
      <c r="I429" s="1013"/>
      <c r="J429" s="1014"/>
      <c r="K429" s="1014"/>
      <c r="L429" s="1015"/>
      <c r="M429" s="1015"/>
      <c r="N429" s="1016"/>
      <c r="O429" s="1013"/>
      <c r="P429" s="1013"/>
      <c r="Q429" s="1013"/>
      <c r="R429" s="1013"/>
      <c r="S429" s="1013"/>
      <c r="T429" s="1013"/>
      <c r="U429" s="1013"/>
      <c r="V429" s="1013"/>
      <c r="W429" s="836"/>
      <c r="X429" s="836"/>
    </row>
    <row r="430" spans="2:36" ht="13" x14ac:dyDescent="0.3">
      <c r="B430" s="27"/>
      <c r="C430" s="593"/>
      <c r="D430" s="786"/>
      <c r="E430" s="148"/>
      <c r="F430" s="373"/>
      <c r="G430" s="373"/>
      <c r="H430" s="373"/>
      <c r="I430" s="373"/>
      <c r="J430" s="787"/>
      <c r="K430" s="788"/>
      <c r="L430" s="789"/>
      <c r="M430" s="789"/>
      <c r="N430" s="790"/>
    </row>
    <row r="431" spans="2:36" ht="31.5" thickBot="1" x14ac:dyDescent="0.4">
      <c r="B431" s="1494" t="s">
        <v>288</v>
      </c>
      <c r="C431" s="956" t="s">
        <v>570</v>
      </c>
      <c r="D431" s="957"/>
      <c r="E431" s="958"/>
      <c r="F431" s="959"/>
      <c r="G431" s="960"/>
      <c r="H431" s="1017"/>
      <c r="I431" s="29"/>
      <c r="J431" s="1018"/>
      <c r="K431" s="1018"/>
      <c r="L431" s="1019"/>
      <c r="M431" s="1019"/>
      <c r="N431" s="1020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2:36" ht="16" thickBot="1" x14ac:dyDescent="0.4">
      <c r="B432" s="791"/>
      <c r="C432" s="792"/>
      <c r="D432" s="32"/>
      <c r="E432" s="33"/>
      <c r="F432" s="30"/>
      <c r="G432" s="373"/>
      <c r="H432" s="1021" t="s">
        <v>538</v>
      </c>
      <c r="I432" s="1365"/>
      <c r="J432" s="1495"/>
      <c r="K432" s="1495"/>
      <c r="L432" s="1496"/>
      <c r="M432" s="1496"/>
      <c r="N432" s="1497"/>
      <c r="O432" s="1365"/>
      <c r="P432" s="1365"/>
      <c r="Q432" s="1365"/>
      <c r="R432" s="1365"/>
      <c r="S432" s="1365"/>
      <c r="T432" s="1365"/>
      <c r="U432" s="1365"/>
      <c r="V432" s="1365"/>
      <c r="W432" s="1498">
        <v>-33790.730000000003</v>
      </c>
      <c r="X432" s="1499">
        <v>-26376.959999999999</v>
      </c>
      <c r="Y432" s="46"/>
      <c r="Z432" s="46"/>
      <c r="AA432" s="46"/>
    </row>
    <row r="433" spans="1:27" ht="13.5" thickBot="1" x14ac:dyDescent="0.35">
      <c r="C433" s="593"/>
      <c r="D433" s="786"/>
      <c r="E433" s="148"/>
      <c r="F433" s="373"/>
      <c r="G433" s="373"/>
      <c r="H433" s="373"/>
      <c r="I433" s="1500"/>
      <c r="J433" s="1501"/>
      <c r="K433" s="1502"/>
      <c r="L433" s="1503"/>
      <c r="M433" s="1503"/>
      <c r="N433" s="1387"/>
      <c r="O433" s="46"/>
      <c r="P433" s="46"/>
      <c r="Q433" s="46"/>
      <c r="R433" s="46"/>
      <c r="S433" s="46"/>
      <c r="T433" s="46"/>
      <c r="U433" s="46"/>
      <c r="V433" s="1504"/>
      <c r="W433" s="1505" t="s">
        <v>177</v>
      </c>
      <c r="X433" s="1506" t="s">
        <v>178</v>
      </c>
      <c r="Y433" s="46"/>
      <c r="Z433" s="46"/>
      <c r="AA433" s="46"/>
    </row>
    <row r="434" spans="1:27" ht="13.5" thickBot="1" x14ac:dyDescent="0.35">
      <c r="A434" s="794" t="s">
        <v>259</v>
      </c>
      <c r="B434" s="1586" t="s">
        <v>599</v>
      </c>
      <c r="C434" s="1585"/>
      <c r="D434" s="1585"/>
      <c r="E434" s="1587"/>
      <c r="F434" s="1585"/>
      <c r="G434" s="1585"/>
      <c r="H434" s="1585"/>
      <c r="I434" s="1585"/>
      <c r="J434" s="1588"/>
      <c r="K434" s="1508"/>
      <c r="L434" s="1496"/>
      <c r="M434" s="1496"/>
      <c r="N434" s="1497"/>
      <c r="O434" s="1365"/>
      <c r="P434" s="1365"/>
      <c r="Q434" s="1365"/>
      <c r="R434" s="1365"/>
      <c r="S434" s="1365"/>
      <c r="T434" s="1365"/>
      <c r="U434" s="1365"/>
      <c r="V434" s="1415">
        <f>W434+X434</f>
        <v>137285.19</v>
      </c>
      <c r="W434" s="1522">
        <v>46002.39</v>
      </c>
      <c r="X434" s="1415">
        <v>91282.8</v>
      </c>
      <c r="Y434" s="82"/>
      <c r="Z434" s="1349"/>
      <c r="AA434" s="46"/>
    </row>
    <row r="435" spans="1:27" ht="13.5" thickBot="1" x14ac:dyDescent="0.35">
      <c r="A435" s="804" t="s">
        <v>261</v>
      </c>
      <c r="B435" s="883" t="s">
        <v>262</v>
      </c>
      <c r="C435" s="847"/>
      <c r="D435" s="847"/>
      <c r="E435" s="847"/>
      <c r="F435" s="847"/>
      <c r="G435" s="847"/>
      <c r="H435" s="847"/>
      <c r="I435" s="885"/>
      <c r="J435" s="1562"/>
      <c r="K435" s="1367"/>
      <c r="L435" s="1509">
        <f>M435+N435</f>
        <v>50000</v>
      </c>
      <c r="M435" s="1510">
        <v>30000</v>
      </c>
      <c r="N435" s="1510">
        <v>20000</v>
      </c>
      <c r="O435" s="1509" t="e">
        <f>P435+Q435</f>
        <v>#REF!</v>
      </c>
      <c r="P435" s="1510" t="e">
        <f>#REF!+#REF!+#REF!+#REF!</f>
        <v>#REF!</v>
      </c>
      <c r="Q435" s="1510" t="e">
        <f>#REF!+#REF!+#REF!+#REF!</f>
        <v>#REF!</v>
      </c>
      <c r="R435" s="1511" t="e">
        <f>#REF!+#REF!+#REF!</f>
        <v>#REF!</v>
      </c>
      <c r="S435" s="1509" t="e">
        <f>U435+#REF!</f>
        <v>#REF!</v>
      </c>
      <c r="T435" s="1509" t="e">
        <f>U435+#REF!</f>
        <v>#REF!</v>
      </c>
      <c r="U435" s="1510">
        <v>67500</v>
      </c>
      <c r="V435" s="1512"/>
      <c r="W435" s="1512">
        <v>0</v>
      </c>
      <c r="X435" s="1513">
        <v>0</v>
      </c>
      <c r="Y435" s="1514"/>
      <c r="Z435" s="46"/>
      <c r="AA435" s="46"/>
    </row>
    <row r="436" spans="1:27" ht="13.5" thickBot="1" x14ac:dyDescent="0.35">
      <c r="A436" s="100"/>
      <c r="B436" s="1589" t="s">
        <v>620</v>
      </c>
      <c r="C436" s="892"/>
      <c r="D436" s="892"/>
      <c r="E436" s="892"/>
      <c r="F436" s="892"/>
      <c r="G436" s="892"/>
      <c r="H436" s="892"/>
      <c r="I436" s="892"/>
      <c r="J436" s="892"/>
      <c r="K436" s="1515"/>
      <c r="L436" s="1516"/>
      <c r="M436" s="1516"/>
      <c r="N436" s="1516"/>
      <c r="O436" s="1366"/>
      <c r="P436" s="1366"/>
      <c r="Q436" s="1366"/>
      <c r="R436" s="1366"/>
      <c r="S436" s="1366"/>
      <c r="T436" s="1366"/>
      <c r="U436" s="1366"/>
      <c r="V436" s="1517"/>
      <c r="W436" s="1517">
        <v>45000</v>
      </c>
      <c r="X436" s="1518">
        <v>65000</v>
      </c>
      <c r="Y436" s="83"/>
      <c r="Z436" s="46"/>
      <c r="AA436" s="46"/>
    </row>
    <row r="437" spans="1:27" ht="13.5" thickBot="1" x14ac:dyDescent="0.35">
      <c r="A437" s="821"/>
      <c r="B437" s="1568" t="s">
        <v>268</v>
      </c>
      <c r="C437" s="1585"/>
      <c r="D437" s="1585"/>
      <c r="E437" s="1585"/>
      <c r="F437" s="1585"/>
      <c r="G437" s="1585"/>
      <c r="H437" s="1585"/>
      <c r="I437" s="1585"/>
      <c r="J437" s="1585"/>
      <c r="K437" s="1507"/>
      <c r="L437" s="1519"/>
      <c r="M437" s="1519"/>
      <c r="N437" s="1519"/>
      <c r="O437" s="1365"/>
      <c r="P437" s="1365"/>
      <c r="Q437" s="1365"/>
      <c r="R437" s="1365"/>
      <c r="S437" s="1365"/>
      <c r="T437" s="1365"/>
      <c r="U437" s="1365"/>
      <c r="V437" s="1520">
        <f>W437+X437</f>
        <v>-33005</v>
      </c>
      <c r="W437" s="1520">
        <v>-33000</v>
      </c>
      <c r="X437" s="1521">
        <v>-5</v>
      </c>
      <c r="Y437" s="1366"/>
      <c r="Z437" s="46"/>
      <c r="AA437" s="46"/>
    </row>
    <row r="438" spans="1:27" x14ac:dyDescent="0.25"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546"/>
      <c r="M438" s="546"/>
      <c r="N438" s="546"/>
    </row>
    <row r="439" spans="1:27" ht="13.5" thickBot="1" x14ac:dyDescent="0.35">
      <c r="B439" s="1349"/>
      <c r="C439" s="1349"/>
      <c r="D439" s="1349"/>
      <c r="E439" s="1349"/>
      <c r="F439" s="1349"/>
      <c r="G439" s="1349"/>
      <c r="H439" s="1349"/>
      <c r="I439" s="1349"/>
      <c r="J439" s="1349"/>
      <c r="K439" s="1349"/>
      <c r="L439" s="1350"/>
      <c r="M439" s="1350"/>
      <c r="N439" s="1350"/>
      <c r="O439" s="1349"/>
      <c r="P439" s="1349"/>
      <c r="Q439" s="1349"/>
      <c r="R439" s="1349"/>
      <c r="S439" s="1349"/>
      <c r="T439" s="1349"/>
      <c r="U439" s="1349"/>
      <c r="V439" s="1349"/>
      <c r="W439" s="1349"/>
      <c r="X439" s="46"/>
    </row>
    <row r="440" spans="1:27" ht="13.5" thickBot="1" x14ac:dyDescent="0.35">
      <c r="B440" s="1349"/>
      <c r="C440" s="1349"/>
      <c r="D440" s="1349"/>
      <c r="E440" s="1349"/>
      <c r="F440" s="1349"/>
      <c r="G440" s="1349"/>
      <c r="H440" s="1349"/>
      <c r="I440" s="1349"/>
      <c r="J440" s="1349"/>
      <c r="K440" s="1349"/>
      <c r="L440" s="1350"/>
      <c r="M440" s="1350"/>
      <c r="N440" s="1350"/>
      <c r="O440" s="1349"/>
      <c r="P440" s="1349"/>
      <c r="Q440" s="1349"/>
      <c r="R440" s="1349"/>
      <c r="S440" s="1349"/>
      <c r="T440" s="1349"/>
      <c r="U440" s="1349"/>
      <c r="V440" s="1349"/>
      <c r="W440" s="1527"/>
      <c r="X440" s="46"/>
    </row>
    <row r="441" spans="1:27" x14ac:dyDescent="0.25">
      <c r="B441" s="1500"/>
      <c r="C441" s="1500"/>
      <c r="D441" s="1500"/>
      <c r="E441" s="1500"/>
      <c r="F441" s="1500"/>
      <c r="G441" s="1500"/>
      <c r="H441" s="1500"/>
      <c r="I441" s="1500"/>
      <c r="J441" s="1500"/>
      <c r="K441" s="1500"/>
      <c r="L441" s="1528"/>
      <c r="M441" s="1528"/>
      <c r="N441" s="1528"/>
      <c r="O441" s="46"/>
      <c r="P441" s="46"/>
      <c r="Q441" s="46"/>
      <c r="R441" s="46"/>
      <c r="S441" s="46"/>
      <c r="T441" s="46"/>
      <c r="U441" s="46"/>
      <c r="V441" s="46"/>
      <c r="W441" s="46"/>
      <c r="X441" s="46"/>
    </row>
    <row r="442" spans="1:27" x14ac:dyDescent="0.25">
      <c r="B442" s="1500"/>
      <c r="C442" s="1500"/>
      <c r="D442" s="1500"/>
      <c r="E442" s="1500"/>
      <c r="F442" s="1500"/>
      <c r="G442" s="1500"/>
      <c r="H442" s="1500"/>
      <c r="I442" s="1500"/>
      <c r="J442" s="1500"/>
      <c r="K442" s="1500"/>
      <c r="L442" s="1528"/>
      <c r="M442" s="1528"/>
      <c r="N442" s="1528"/>
      <c r="O442" s="46"/>
      <c r="P442" s="46"/>
      <c r="Q442" s="46"/>
      <c r="R442" s="46"/>
      <c r="S442" s="46"/>
      <c r="T442" s="46"/>
      <c r="U442" s="46"/>
      <c r="V442" s="46"/>
      <c r="W442" s="46"/>
      <c r="X442" s="46"/>
    </row>
    <row r="443" spans="1:27" x14ac:dyDescent="0.25"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546"/>
      <c r="M443" s="546"/>
      <c r="N443" s="546"/>
      <c r="W443" s="549"/>
    </row>
    <row r="444" spans="1:27" ht="14" x14ac:dyDescent="0.3">
      <c r="B444" s="1541" t="s">
        <v>619</v>
      </c>
      <c r="C444" s="1673"/>
      <c r="D444" s="1673"/>
      <c r="E444" s="1673"/>
      <c r="F444" s="1673"/>
      <c r="G444" s="1673"/>
      <c r="H444" s="1673"/>
      <c r="I444" s="1673"/>
      <c r="J444" s="1673"/>
      <c r="K444" s="104"/>
      <c r="L444" s="546"/>
      <c r="M444" s="546"/>
      <c r="N444" s="546"/>
    </row>
    <row r="445" spans="1:27" x14ac:dyDescent="0.25"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546"/>
      <c r="M445" s="546"/>
      <c r="N445" s="546"/>
    </row>
    <row r="446" spans="1:27" ht="13.5" thickBot="1" x14ac:dyDescent="0.35">
      <c r="A446" s="84"/>
      <c r="B446" s="84"/>
      <c r="C446" s="84"/>
      <c r="D446" s="84"/>
      <c r="E446" s="84"/>
      <c r="F446" s="84"/>
      <c r="G446" s="1300"/>
      <c r="H446" s="84"/>
      <c r="I446" s="1301"/>
      <c r="J446" s="84"/>
      <c r="K446" s="1302"/>
      <c r="L446" s="77"/>
      <c r="M446" s="78"/>
      <c r="N446" s="1302" t="s">
        <v>41</v>
      </c>
      <c r="O446" s="77"/>
      <c r="P446" s="84"/>
      <c r="Q446" s="84"/>
      <c r="R446" s="84"/>
      <c r="S446" s="84"/>
      <c r="T446" s="84"/>
      <c r="U446" s="84"/>
      <c r="V446" s="1302" t="s">
        <v>41</v>
      </c>
      <c r="W446" s="1302">
        <v>894928.55</v>
      </c>
      <c r="X446" s="1302">
        <v>776327.88</v>
      </c>
    </row>
    <row r="447" spans="1:27" ht="13.5" thickBot="1" x14ac:dyDescent="0.35">
      <c r="A447" s="84"/>
      <c r="B447" s="84"/>
      <c r="C447" s="84"/>
      <c r="D447" s="1301"/>
      <c r="E447" s="1301" t="s">
        <v>540</v>
      </c>
      <c r="F447" s="1301"/>
      <c r="G447" s="1301"/>
      <c r="H447" s="84"/>
      <c r="I447" s="84"/>
      <c r="J447" s="84"/>
      <c r="K447" s="1303">
        <v>868830</v>
      </c>
      <c r="L447" s="1303">
        <v>435232</v>
      </c>
      <c r="M447" s="1303">
        <v>433498</v>
      </c>
      <c r="N447" s="1303">
        <f>O447+P447</f>
        <v>561370.69000000006</v>
      </c>
      <c r="O447" s="1303">
        <v>612267.81000000006</v>
      </c>
      <c r="P447" s="1303">
        <v>-50897.120000000003</v>
      </c>
      <c r="Q447" s="84"/>
      <c r="R447" s="84"/>
      <c r="S447" s="84"/>
      <c r="T447" s="84"/>
      <c r="U447" s="84"/>
      <c r="V447" s="1303">
        <f>W447+X447</f>
        <v>799520.75</v>
      </c>
      <c r="W447" s="1303">
        <v>759673.34</v>
      </c>
      <c r="X447" s="1303">
        <v>39847.410000000003</v>
      </c>
    </row>
    <row r="448" spans="1:27" ht="13" x14ac:dyDescent="0.3">
      <c r="A448" s="1304"/>
      <c r="B448" s="1305"/>
      <c r="C448" s="1305"/>
      <c r="D448" s="1305" t="s">
        <v>44</v>
      </c>
      <c r="E448" s="1305"/>
      <c r="F448" s="1305"/>
      <c r="G448" s="1305"/>
      <c r="H448" s="1305"/>
      <c r="I448" s="1305"/>
      <c r="J448" s="1305"/>
      <c r="K448" s="1303" t="s">
        <v>45</v>
      </c>
      <c r="L448" s="1303" t="s">
        <v>46</v>
      </c>
      <c r="M448" s="1303" t="s">
        <v>46</v>
      </c>
      <c r="N448" s="1303" t="s">
        <v>45</v>
      </c>
      <c r="O448" s="1303" t="s">
        <v>46</v>
      </c>
      <c r="P448" s="1303" t="s">
        <v>46</v>
      </c>
      <c r="Q448" s="84"/>
      <c r="R448" s="84"/>
      <c r="S448" s="84"/>
      <c r="T448" s="84"/>
      <c r="U448" s="84"/>
      <c r="V448" s="1303" t="s">
        <v>45</v>
      </c>
      <c r="W448" s="1303" t="s">
        <v>46</v>
      </c>
      <c r="X448" s="1303" t="s">
        <v>46</v>
      </c>
    </row>
    <row r="449" spans="1:26" ht="13.5" thickBot="1" x14ac:dyDescent="0.35">
      <c r="A449" s="1306"/>
      <c r="B449" s="1307"/>
      <c r="C449" s="1307"/>
      <c r="D449" s="1307"/>
      <c r="E449" s="1307"/>
      <c r="F449" s="1307"/>
      <c r="G449" s="1307"/>
      <c r="H449" s="1307"/>
      <c r="I449" s="1307"/>
      <c r="J449" s="1307"/>
      <c r="K449" s="1308" t="s">
        <v>48</v>
      </c>
      <c r="L449" s="1308" t="s">
        <v>49</v>
      </c>
      <c r="M449" s="1308" t="s">
        <v>50</v>
      </c>
      <c r="N449" s="1308" t="s">
        <v>48</v>
      </c>
      <c r="O449" s="1308" t="s">
        <v>49</v>
      </c>
      <c r="P449" s="1308" t="s">
        <v>50</v>
      </c>
      <c r="Q449" s="84"/>
      <c r="R449" s="84"/>
      <c r="S449" s="84"/>
      <c r="T449" s="84"/>
      <c r="U449" s="84"/>
      <c r="V449" s="1308" t="s">
        <v>48</v>
      </c>
      <c r="W449" s="1308" t="s">
        <v>49</v>
      </c>
      <c r="X449" s="1308" t="s">
        <v>50</v>
      </c>
    </row>
    <row r="450" spans="1:26" ht="13" x14ac:dyDescent="0.3">
      <c r="A450" s="1636" t="s">
        <v>614</v>
      </c>
      <c r="B450" s="1590"/>
      <c r="C450" s="1590"/>
      <c r="D450" s="1309"/>
      <c r="E450" s="1309" t="s">
        <v>615</v>
      </c>
      <c r="F450" s="1309"/>
      <c r="G450" s="1309"/>
      <c r="I450" s="1309"/>
      <c r="J450" s="1310"/>
      <c r="K450" s="1311">
        <f t="shared" ref="K450" si="38">L450+M450</f>
        <v>156120</v>
      </c>
      <c r="L450" s="1312">
        <v>48060</v>
      </c>
      <c r="M450" s="1312">
        <v>108060</v>
      </c>
      <c r="N450" s="1312">
        <f t="shared" ref="N450:N455" si="39">O450+P450</f>
        <v>233323.35</v>
      </c>
      <c r="O450" s="1312">
        <v>233323.35</v>
      </c>
      <c r="P450" s="1312"/>
      <c r="Q450" s="84"/>
      <c r="R450" s="84"/>
      <c r="S450" s="84"/>
      <c r="T450" s="84"/>
      <c r="U450" s="84"/>
      <c r="V450" s="1312">
        <f t="shared" ref="V450:V455" si="40">W450+X450</f>
        <v>200000</v>
      </c>
      <c r="W450" s="1674">
        <v>150000</v>
      </c>
      <c r="X450" s="1674">
        <v>50000</v>
      </c>
    </row>
    <row r="451" spans="1:26" ht="13" x14ac:dyDescent="0.3">
      <c r="A451" s="883" t="s">
        <v>616</v>
      </c>
      <c r="B451" s="847"/>
      <c r="C451" s="847"/>
      <c r="D451" s="847"/>
      <c r="E451" s="18"/>
      <c r="F451" s="321"/>
      <c r="G451" s="321"/>
      <c r="H451" s="148"/>
      <c r="J451" s="1309"/>
      <c r="K451" s="1311"/>
      <c r="L451" s="1452"/>
      <c r="M451" s="1452"/>
      <c r="N451" s="1452"/>
      <c r="O451" s="1452"/>
      <c r="P451" s="1452"/>
      <c r="Q451" s="84"/>
      <c r="R451" s="84"/>
      <c r="S451" s="84"/>
      <c r="T451" s="84"/>
      <c r="U451" s="84"/>
      <c r="V451" s="1452"/>
      <c r="W451" s="1675"/>
      <c r="X451" s="1675"/>
    </row>
    <row r="452" spans="1:26" ht="13" x14ac:dyDescent="0.3">
      <c r="A452" s="869" t="s">
        <v>608</v>
      </c>
      <c r="B452" s="847" t="s">
        <v>613</v>
      </c>
      <c r="C452" s="847"/>
      <c r="D452" s="847"/>
      <c r="E452" s="847"/>
      <c r="F452" s="847"/>
      <c r="G452" s="847"/>
      <c r="H452" s="847"/>
      <c r="I452" s="321"/>
      <c r="J452" s="1309"/>
      <c r="K452" s="1311"/>
      <c r="L452" s="1452"/>
      <c r="M452" s="1452"/>
      <c r="N452" s="1452"/>
      <c r="O452" s="1452"/>
      <c r="P452" s="1452"/>
      <c r="Q452" s="84"/>
      <c r="R452" s="84"/>
      <c r="S452" s="84"/>
      <c r="T452" s="84"/>
      <c r="U452" s="84"/>
      <c r="V452" s="1452"/>
      <c r="W452" s="1675">
        <v>400000</v>
      </c>
      <c r="X452" s="1675">
        <v>400000</v>
      </c>
    </row>
    <row r="453" spans="1:26" ht="13" x14ac:dyDescent="0.3">
      <c r="A453" s="869" t="s">
        <v>609</v>
      </c>
      <c r="B453" s="847" t="s">
        <v>611</v>
      </c>
      <c r="C453" s="847"/>
      <c r="D453" s="847"/>
      <c r="E453" s="847"/>
      <c r="F453" s="847"/>
      <c r="G453" s="847"/>
      <c r="H453" s="847"/>
      <c r="I453" s="321"/>
      <c r="J453" s="1309"/>
      <c r="K453" s="1311"/>
      <c r="L453" s="1452"/>
      <c r="M453" s="1452"/>
      <c r="N453" s="1452"/>
      <c r="O453" s="1452"/>
      <c r="P453" s="1452"/>
      <c r="Q453" s="84"/>
      <c r="R453" s="84"/>
      <c r="S453" s="84"/>
      <c r="T453" s="84"/>
      <c r="U453" s="84"/>
      <c r="V453" s="1452"/>
      <c r="W453" s="1675"/>
      <c r="X453" s="1675"/>
    </row>
    <row r="454" spans="1:26" ht="13.5" thickBot="1" x14ac:dyDescent="0.35">
      <c r="A454" s="869" t="s">
        <v>610</v>
      </c>
      <c r="B454" s="847" t="s">
        <v>612</v>
      </c>
      <c r="C454" s="847"/>
      <c r="D454" s="847"/>
      <c r="E454" s="847"/>
      <c r="F454" s="847"/>
      <c r="G454" s="847"/>
      <c r="H454" s="847"/>
      <c r="I454" s="321"/>
      <c r="J454" s="1309"/>
      <c r="K454" s="1311"/>
      <c r="L454" s="1452"/>
      <c r="M454" s="1452"/>
      <c r="N454" s="1452"/>
      <c r="O454" s="1452"/>
      <c r="P454" s="1452"/>
      <c r="Q454" s="84"/>
      <c r="R454" s="84"/>
      <c r="S454" s="84"/>
      <c r="T454" s="84"/>
      <c r="U454" s="84"/>
      <c r="V454" s="1452"/>
      <c r="W454" s="1675">
        <v>100000</v>
      </c>
      <c r="X454" s="1675">
        <v>100000</v>
      </c>
    </row>
    <row r="455" spans="1:26" ht="13.5" thickBot="1" x14ac:dyDescent="0.35">
      <c r="A455" s="1313" t="s">
        <v>541</v>
      </c>
      <c r="B455" s="1314"/>
      <c r="C455" s="1314"/>
      <c r="D455" s="1314"/>
      <c r="E455" s="1314"/>
      <c r="F455" s="1313"/>
      <c r="G455" s="1314"/>
      <c r="H455" s="1314"/>
      <c r="I455" s="1314"/>
      <c r="J455" s="1314"/>
      <c r="K455" s="1315">
        <f>SUM(K450:K450)</f>
        <v>156120</v>
      </c>
      <c r="L455" s="1315">
        <f>SUM(L450:L450)</f>
        <v>48060</v>
      </c>
      <c r="M455" s="1315">
        <f>SUM(M450:M450)</f>
        <v>108060</v>
      </c>
      <c r="N455" s="1315">
        <f t="shared" si="39"/>
        <v>233323.35</v>
      </c>
      <c r="O455" s="1315">
        <f>SUM(O450:O450)</f>
        <v>233323.35</v>
      </c>
      <c r="P455" s="1315">
        <f>SUM(P450:P450)</f>
        <v>0</v>
      </c>
      <c r="Q455" s="1316"/>
      <c r="R455" s="1316"/>
      <c r="S455" s="1316"/>
      <c r="T455" s="1316"/>
      <c r="U455" s="1316"/>
      <c r="V455" s="1315">
        <f t="shared" si="40"/>
        <v>1200000</v>
      </c>
      <c r="W455" s="598">
        <f>W450+W452+W454</f>
        <v>650000</v>
      </c>
      <c r="X455" s="598">
        <f>X450+X452+X454</f>
        <v>550000</v>
      </c>
    </row>
    <row r="456" spans="1:26" ht="13.5" thickBot="1" x14ac:dyDescent="0.35">
      <c r="A456" s="1309"/>
      <c r="B456" s="1309"/>
      <c r="C456" s="1309"/>
      <c r="D456" s="1309"/>
      <c r="E456" s="1309"/>
      <c r="F456" s="1309"/>
      <c r="G456" s="1309"/>
      <c r="H456" s="1309"/>
      <c r="I456" s="1309"/>
      <c r="J456" s="1322" t="s">
        <v>539</v>
      </c>
      <c r="K456" s="1317">
        <f t="shared" ref="K456:P456" si="41">K447-K455</f>
        <v>712710</v>
      </c>
      <c r="L456" s="1317">
        <f t="shared" si="41"/>
        <v>387172</v>
      </c>
      <c r="M456" s="1318">
        <f t="shared" si="41"/>
        <v>325438</v>
      </c>
      <c r="N456" s="1319">
        <f t="shared" si="41"/>
        <v>328047.34000000008</v>
      </c>
      <c r="O456" s="1320">
        <f t="shared" si="41"/>
        <v>378944.46000000008</v>
      </c>
      <c r="P456" s="1321">
        <f t="shared" si="41"/>
        <v>-50897.120000000003</v>
      </c>
      <c r="Q456" s="84"/>
      <c r="R456" s="84"/>
      <c r="S456" s="84"/>
      <c r="T456" s="84"/>
      <c r="U456" s="84"/>
      <c r="V456" s="1319">
        <f>V447-V455</f>
        <v>-400479.25</v>
      </c>
      <c r="W456" s="1320">
        <f>W447-W455</f>
        <v>109673.33999999997</v>
      </c>
      <c r="X456" s="1321">
        <f>X447-X455</f>
        <v>-510152.58999999997</v>
      </c>
    </row>
    <row r="457" spans="1:26" ht="13.5" thickBot="1" x14ac:dyDescent="0.35">
      <c r="A457" s="84"/>
      <c r="B457" s="84"/>
      <c r="C457" s="84"/>
      <c r="D457" s="84"/>
      <c r="E457" s="1301" t="s">
        <v>586</v>
      </c>
      <c r="F457" s="84"/>
      <c r="G457" s="84"/>
      <c r="H457" s="84"/>
      <c r="I457" s="84"/>
      <c r="J457" s="1322" t="s">
        <v>539</v>
      </c>
      <c r="K457" s="1323"/>
      <c r="L457" s="1323"/>
      <c r="M457" s="1323"/>
      <c r="N457" s="1323" t="e">
        <f>O457+P457</f>
        <v>#REF!</v>
      </c>
      <c r="O457" s="1324" t="e">
        <f>236094.92+#REF!</f>
        <v>#REF!</v>
      </c>
      <c r="P457" s="1325" t="e">
        <f>-150169.14+#REF!</f>
        <v>#REF!</v>
      </c>
      <c r="Q457" s="84"/>
      <c r="R457" s="84"/>
      <c r="S457" s="84"/>
      <c r="T457" s="84"/>
      <c r="U457" s="84"/>
      <c r="V457" s="1326">
        <f>W457+X457</f>
        <v>-400075.5700000003</v>
      </c>
      <c r="W457" s="1324">
        <f>W456+W272</f>
        <v>109705.32499999937</v>
      </c>
      <c r="X457" s="1324">
        <f>X456+X272</f>
        <v>-509780.89499999967</v>
      </c>
    </row>
    <row r="458" spans="1:26" x14ac:dyDescent="0.25"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546"/>
      <c r="M458" s="546"/>
      <c r="N458" s="546"/>
    </row>
    <row r="459" spans="1:26" x14ac:dyDescent="0.25"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546"/>
      <c r="M459" s="546"/>
      <c r="N459" s="546"/>
    </row>
    <row r="460" spans="1:26" ht="15.5" x14ac:dyDescent="0.35"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546"/>
      <c r="M460" s="546"/>
      <c r="N460" s="546"/>
      <c r="V460" s="84"/>
      <c r="W460" s="76" t="s">
        <v>542</v>
      </c>
      <c r="X460" s="84"/>
      <c r="Y460" s="84"/>
      <c r="Z460" s="84"/>
    </row>
    <row r="461" spans="1:26" x14ac:dyDescent="0.25"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546"/>
      <c r="M461" s="546"/>
      <c r="N461" s="546"/>
      <c r="V461" s="84"/>
      <c r="W461" s="84"/>
      <c r="X461" s="84"/>
      <c r="Y461" s="84"/>
      <c r="Z461" s="84"/>
    </row>
    <row r="462" spans="1:26" ht="15.5" x14ac:dyDescent="0.35"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546"/>
      <c r="M462" s="546"/>
      <c r="N462" s="546"/>
      <c r="V462" s="1327" t="s">
        <v>543</v>
      </c>
      <c r="W462" s="1327"/>
      <c r="X462" s="1327"/>
      <c r="Y462" s="91"/>
      <c r="Z462" s="91"/>
    </row>
    <row r="463" spans="1:26" ht="16" thickBot="1" x14ac:dyDescent="0.4"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546"/>
      <c r="M463" s="546"/>
      <c r="N463" s="546"/>
      <c r="V463" s="76" t="s">
        <v>544</v>
      </c>
      <c r="W463" s="76"/>
      <c r="X463" s="76"/>
      <c r="Y463" s="84"/>
      <c r="Z463" s="84"/>
    </row>
    <row r="464" spans="1:26" ht="13.5" thickBot="1" x14ac:dyDescent="0.35"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546"/>
      <c r="M464" s="546"/>
      <c r="N464" s="546"/>
      <c r="V464" s="1343" t="s">
        <v>545</v>
      </c>
      <c r="W464" s="1344" t="s">
        <v>546</v>
      </c>
      <c r="X464" s="1345" t="s">
        <v>547</v>
      </c>
      <c r="Y464" s="1335" t="s">
        <v>548</v>
      </c>
      <c r="Z464" s="91"/>
    </row>
    <row r="465" spans="2:26" ht="14" x14ac:dyDescent="0.3"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546"/>
      <c r="M465" s="546"/>
      <c r="N465" s="546"/>
      <c r="V465" s="1340" t="s">
        <v>549</v>
      </c>
      <c r="W465" s="1341">
        <v>145174</v>
      </c>
      <c r="X465" s="1342">
        <v>-72562</v>
      </c>
      <c r="Y465" s="1336">
        <f>W465+X465</f>
        <v>72612</v>
      </c>
      <c r="Z465" s="1330"/>
    </row>
    <row r="466" spans="2:26" ht="14" x14ac:dyDescent="0.3"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546"/>
      <c r="M466" s="546"/>
      <c r="N466" s="546"/>
      <c r="V466" s="1328" t="s">
        <v>550</v>
      </c>
      <c r="W466" s="1329">
        <v>100149</v>
      </c>
      <c r="X466" s="1339">
        <v>126521</v>
      </c>
      <c r="Y466" s="1336">
        <f>W466+X466</f>
        <v>226670</v>
      </c>
      <c r="Z466" s="1330"/>
    </row>
    <row r="467" spans="2:26" ht="14" x14ac:dyDescent="0.3"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546"/>
      <c r="M467" s="546"/>
      <c r="N467" s="546"/>
      <c r="V467" s="1328" t="s">
        <v>551</v>
      </c>
      <c r="W467" s="1329">
        <v>309868.38</v>
      </c>
      <c r="X467" s="1339">
        <v>-201066.26</v>
      </c>
      <c r="Y467" s="1337"/>
      <c r="Z467" s="1330"/>
    </row>
    <row r="468" spans="2:26" ht="14.5" thickBot="1" x14ac:dyDescent="0.35"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546"/>
      <c r="M468" s="546"/>
      <c r="N468" s="546"/>
      <c r="V468" s="1346" t="s">
        <v>553</v>
      </c>
      <c r="W468" s="1347">
        <v>204481.96</v>
      </c>
      <c r="X468" s="1348">
        <v>186954.67</v>
      </c>
      <c r="Y468" s="1337">
        <f>W468+X468</f>
        <v>391436.63</v>
      </c>
      <c r="Z468" s="1330"/>
    </row>
    <row r="469" spans="2:26" ht="14.5" thickBot="1" x14ac:dyDescent="0.35"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V469" s="1331" t="s">
        <v>552</v>
      </c>
      <c r="W469" s="1332">
        <f>SUM(W465:W468)</f>
        <v>759673.34</v>
      </c>
      <c r="X469" s="1333">
        <f>SUM(X465:X468)</f>
        <v>39847.410000000003</v>
      </c>
      <c r="Y469" s="1338">
        <f>SUM(Y465:Y468)</f>
        <v>690718.63</v>
      </c>
      <c r="Z469" s="1334"/>
    </row>
    <row r="470" spans="2:26" x14ac:dyDescent="0.25"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</row>
    <row r="471" spans="2:26" x14ac:dyDescent="0.25"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</row>
    <row r="472" spans="2:26" x14ac:dyDescent="0.25"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</row>
    <row r="473" spans="2:26" x14ac:dyDescent="0.25"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</row>
    <row r="474" spans="2:26" x14ac:dyDescent="0.25"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</row>
    <row r="475" spans="2:26" x14ac:dyDescent="0.25"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</row>
    <row r="476" spans="2:26" x14ac:dyDescent="0.25"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</row>
    <row r="477" spans="2:26" x14ac:dyDescent="0.25"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</row>
    <row r="478" spans="2:26" x14ac:dyDescent="0.25"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</row>
    <row r="479" spans="2:26" x14ac:dyDescent="0.25"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</row>
    <row r="480" spans="2:26" x14ac:dyDescent="0.25"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</row>
    <row r="481" spans="2:14" x14ac:dyDescent="0.25"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</row>
    <row r="482" spans="2:14" x14ac:dyDescent="0.25"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</row>
    <row r="483" spans="2:14" x14ac:dyDescent="0.25"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</row>
    <row r="484" spans="2:14" x14ac:dyDescent="0.25"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</row>
    <row r="485" spans="2:14" x14ac:dyDescent="0.25"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</row>
    <row r="486" spans="2:14" x14ac:dyDescent="0.25"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</row>
    <row r="487" spans="2:14" x14ac:dyDescent="0.25"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</row>
    <row r="488" spans="2:14" x14ac:dyDescent="0.25"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</row>
    <row r="489" spans="2:14" x14ac:dyDescent="0.25"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</row>
    <row r="490" spans="2:14" x14ac:dyDescent="0.25"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</row>
    <row r="491" spans="2:14" x14ac:dyDescent="0.25"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</row>
    <row r="492" spans="2:14" x14ac:dyDescent="0.25"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</row>
    <row r="493" spans="2:14" x14ac:dyDescent="0.25"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</row>
    <row r="494" spans="2:14" x14ac:dyDescent="0.25"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</row>
    <row r="495" spans="2:14" x14ac:dyDescent="0.25"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</row>
    <row r="496" spans="2:14" x14ac:dyDescent="0.25"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</row>
    <row r="497" spans="2:14" x14ac:dyDescent="0.25"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</row>
    <row r="498" spans="2:14" x14ac:dyDescent="0.25"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</row>
    <row r="499" spans="2:14" x14ac:dyDescent="0.25"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</row>
    <row r="500" spans="2:14" x14ac:dyDescent="0.25"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</row>
    <row r="501" spans="2:14" x14ac:dyDescent="0.25"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</row>
    <row r="502" spans="2:14" x14ac:dyDescent="0.25"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</row>
    <row r="503" spans="2:14" x14ac:dyDescent="0.25"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</row>
    <row r="504" spans="2:14" x14ac:dyDescent="0.25"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</row>
    <row r="505" spans="2:14" x14ac:dyDescent="0.25"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</row>
    <row r="506" spans="2:14" x14ac:dyDescent="0.25"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</row>
    <row r="507" spans="2:14" x14ac:dyDescent="0.25"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</row>
    <row r="508" spans="2:14" x14ac:dyDescent="0.25"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</row>
    <row r="509" spans="2:14" x14ac:dyDescent="0.25"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</row>
    <row r="510" spans="2:14" x14ac:dyDescent="0.25"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</row>
    <row r="511" spans="2:14" x14ac:dyDescent="0.25"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</row>
    <row r="512" spans="2:14" x14ac:dyDescent="0.25"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</row>
    <row r="513" spans="2:14" x14ac:dyDescent="0.25"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</row>
    <row r="514" spans="2:14" x14ac:dyDescent="0.25"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</row>
    <row r="515" spans="2:14" x14ac:dyDescent="0.25"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</row>
    <row r="516" spans="2:14" x14ac:dyDescent="0.25"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</row>
    <row r="517" spans="2:14" x14ac:dyDescent="0.25"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</row>
    <row r="518" spans="2:14" x14ac:dyDescent="0.25"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</row>
    <row r="519" spans="2:14" x14ac:dyDescent="0.25"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</row>
    <row r="520" spans="2:14" x14ac:dyDescent="0.25"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</row>
    <row r="521" spans="2:14" x14ac:dyDescent="0.25"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</row>
    <row r="522" spans="2:14" x14ac:dyDescent="0.25"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</row>
    <row r="523" spans="2:14" x14ac:dyDescent="0.25"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</row>
    <row r="524" spans="2:14" x14ac:dyDescent="0.25"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</row>
    <row r="525" spans="2:14" x14ac:dyDescent="0.25"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</row>
    <row r="526" spans="2:14" x14ac:dyDescent="0.25"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</row>
    <row r="527" spans="2:14" x14ac:dyDescent="0.25"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</row>
    <row r="528" spans="2:14" x14ac:dyDescent="0.25"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</row>
    <row r="529" spans="2:14" x14ac:dyDescent="0.25"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</row>
    <row r="530" spans="2:14" x14ac:dyDescent="0.25"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</row>
    <row r="531" spans="2:14" x14ac:dyDescent="0.25"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</row>
    <row r="532" spans="2:14" x14ac:dyDescent="0.25"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</row>
    <row r="533" spans="2:14" x14ac:dyDescent="0.25"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</row>
    <row r="534" spans="2:14" x14ac:dyDescent="0.25"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</row>
    <row r="535" spans="2:14" x14ac:dyDescent="0.25"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</row>
    <row r="536" spans="2:14" x14ac:dyDescent="0.25"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</row>
    <row r="537" spans="2:14" x14ac:dyDescent="0.25"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</row>
    <row r="538" spans="2:14" x14ac:dyDescent="0.25"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</row>
    <row r="539" spans="2:14" x14ac:dyDescent="0.25"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</row>
    <row r="540" spans="2:14" x14ac:dyDescent="0.25"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</row>
    <row r="541" spans="2:14" x14ac:dyDescent="0.25"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</row>
    <row r="542" spans="2:14" x14ac:dyDescent="0.25"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</row>
    <row r="543" spans="2:14" x14ac:dyDescent="0.25"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</row>
    <row r="544" spans="2:14" x14ac:dyDescent="0.25"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</row>
    <row r="545" spans="2:14" x14ac:dyDescent="0.25"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</row>
    <row r="546" spans="2:14" x14ac:dyDescent="0.25"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</row>
    <row r="547" spans="2:14" x14ac:dyDescent="0.25"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</row>
    <row r="548" spans="2:14" x14ac:dyDescent="0.25"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</row>
    <row r="549" spans="2:14" x14ac:dyDescent="0.25"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</row>
    <row r="550" spans="2:14" x14ac:dyDescent="0.25"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</row>
    <row r="551" spans="2:14" x14ac:dyDescent="0.25"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</row>
    <row r="552" spans="2:14" x14ac:dyDescent="0.25"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</row>
    <row r="553" spans="2:14" x14ac:dyDescent="0.25"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</row>
    <row r="554" spans="2:14" x14ac:dyDescent="0.25"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</row>
    <row r="555" spans="2:14" x14ac:dyDescent="0.25"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</row>
    <row r="556" spans="2:14" x14ac:dyDescent="0.25"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</row>
    <row r="557" spans="2:14" x14ac:dyDescent="0.25"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</row>
    <row r="558" spans="2:14" x14ac:dyDescent="0.25"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</row>
    <row r="559" spans="2:14" x14ac:dyDescent="0.25"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</row>
    <row r="560" spans="2:14" x14ac:dyDescent="0.25"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</row>
    <row r="561" spans="2:14" x14ac:dyDescent="0.25"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</row>
    <row r="562" spans="2:14" x14ac:dyDescent="0.25"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</row>
    <row r="563" spans="2:14" x14ac:dyDescent="0.25"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</row>
    <row r="564" spans="2:14" x14ac:dyDescent="0.25"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</row>
    <row r="565" spans="2:14" x14ac:dyDescent="0.25"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</row>
    <row r="566" spans="2:14" x14ac:dyDescent="0.25"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</row>
    <row r="567" spans="2:14" x14ac:dyDescent="0.25"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</row>
    <row r="568" spans="2:14" x14ac:dyDescent="0.25"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</row>
    <row r="569" spans="2:14" x14ac:dyDescent="0.25"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</row>
    <row r="570" spans="2:14" x14ac:dyDescent="0.25"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</row>
    <row r="571" spans="2:14" x14ac:dyDescent="0.25"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</row>
    <row r="572" spans="2:14" x14ac:dyDescent="0.25"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</row>
    <row r="573" spans="2:14" x14ac:dyDescent="0.25"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</row>
    <row r="574" spans="2:14" x14ac:dyDescent="0.25"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</row>
    <row r="575" spans="2:14" x14ac:dyDescent="0.25"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</row>
    <row r="576" spans="2:14" x14ac:dyDescent="0.25"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</row>
    <row r="577" spans="2:14" x14ac:dyDescent="0.25"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</row>
    <row r="578" spans="2:14" x14ac:dyDescent="0.25"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</row>
    <row r="579" spans="2:14" x14ac:dyDescent="0.25"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</row>
    <row r="580" spans="2:14" x14ac:dyDescent="0.25"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</row>
    <row r="581" spans="2:14" x14ac:dyDescent="0.25"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</row>
    <row r="582" spans="2:14" x14ac:dyDescent="0.25"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</row>
    <row r="583" spans="2:14" x14ac:dyDescent="0.25"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</row>
    <row r="584" spans="2:14" x14ac:dyDescent="0.25"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</row>
    <row r="585" spans="2:14" x14ac:dyDescent="0.25"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</row>
    <row r="586" spans="2:14" x14ac:dyDescent="0.25"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</row>
    <row r="587" spans="2:14" x14ac:dyDescent="0.25"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</row>
    <row r="588" spans="2:14" x14ac:dyDescent="0.25"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</row>
    <row r="589" spans="2:14" x14ac:dyDescent="0.25"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</row>
    <row r="590" spans="2:14" x14ac:dyDescent="0.25"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</row>
    <row r="591" spans="2:14" x14ac:dyDescent="0.25"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</row>
    <row r="592" spans="2:14" x14ac:dyDescent="0.25"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</row>
    <row r="593" spans="2:14" x14ac:dyDescent="0.25"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</row>
    <row r="594" spans="2:14" x14ac:dyDescent="0.25"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</row>
    <row r="595" spans="2:14" x14ac:dyDescent="0.25"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</row>
    <row r="596" spans="2:14" x14ac:dyDescent="0.25"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</row>
    <row r="597" spans="2:14" x14ac:dyDescent="0.25"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</row>
    <row r="598" spans="2:14" x14ac:dyDescent="0.25"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</row>
    <row r="599" spans="2:14" x14ac:dyDescent="0.25"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</row>
    <row r="600" spans="2:14" x14ac:dyDescent="0.25"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</row>
    <row r="601" spans="2:14" x14ac:dyDescent="0.25"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</row>
    <row r="602" spans="2:14" x14ac:dyDescent="0.25"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</row>
    <row r="603" spans="2:14" x14ac:dyDescent="0.25"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</row>
    <row r="604" spans="2:14" x14ac:dyDescent="0.25"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</row>
    <row r="605" spans="2:14" x14ac:dyDescent="0.25"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</row>
    <row r="606" spans="2:14" x14ac:dyDescent="0.25"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</row>
    <row r="607" spans="2:14" x14ac:dyDescent="0.25"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</row>
    <row r="608" spans="2:14" x14ac:dyDescent="0.25"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</row>
    <row r="609" spans="2:14" x14ac:dyDescent="0.25"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</row>
    <row r="610" spans="2:14" x14ac:dyDescent="0.25"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</row>
    <row r="611" spans="2:14" x14ac:dyDescent="0.25">
      <c r="B611" s="104"/>
    </row>
    <row r="612" spans="2:14" x14ac:dyDescent="0.25">
      <c r="B612" s="104"/>
    </row>
  </sheetData>
  <mergeCells count="131">
    <mergeCell ref="B299:J299"/>
    <mergeCell ref="B390:J390"/>
    <mergeCell ref="B389:J389"/>
    <mergeCell ref="B416:J416"/>
    <mergeCell ref="F267:K267"/>
    <mergeCell ref="B301:J301"/>
    <mergeCell ref="B323:J323"/>
    <mergeCell ref="B326:J326"/>
    <mergeCell ref="B378:J378"/>
    <mergeCell ref="B379:J379"/>
    <mergeCell ref="B380:J380"/>
    <mergeCell ref="B381:J381"/>
    <mergeCell ref="B382:J382"/>
    <mergeCell ref="B355:J355"/>
    <mergeCell ref="B356:J356"/>
    <mergeCell ref="B357:J357"/>
    <mergeCell ref="B363:J363"/>
    <mergeCell ref="B364:J364"/>
    <mergeCell ref="B343:J343"/>
    <mergeCell ref="B344:J344"/>
    <mergeCell ref="B345:J345"/>
    <mergeCell ref="B346:J346"/>
    <mergeCell ref="B313:J313"/>
    <mergeCell ref="B347:J347"/>
    <mergeCell ref="B360:J360"/>
    <mergeCell ref="B302:J302"/>
    <mergeCell ref="B365:J365"/>
    <mergeCell ref="B366:J366"/>
    <mergeCell ref="B367:J367"/>
    <mergeCell ref="B373:J373"/>
    <mergeCell ref="B374:J374"/>
    <mergeCell ref="B375:J375"/>
    <mergeCell ref="B368:J368"/>
    <mergeCell ref="B369:J369"/>
    <mergeCell ref="B329:J329"/>
    <mergeCell ref="B330:J330"/>
    <mergeCell ref="B370:J370"/>
    <mergeCell ref="B371:J371"/>
    <mergeCell ref="B372:J372"/>
    <mergeCell ref="B362:J362"/>
    <mergeCell ref="B353:J353"/>
    <mergeCell ref="B354:J354"/>
    <mergeCell ref="B425:K425"/>
    <mergeCell ref="H195:J195"/>
    <mergeCell ref="B262:G262"/>
    <mergeCell ref="H262:K262"/>
    <mergeCell ref="Z202:AA202"/>
    <mergeCell ref="Z203:AC204"/>
    <mergeCell ref="B303:J303"/>
    <mergeCell ref="B304:J304"/>
    <mergeCell ref="B305:J305"/>
    <mergeCell ref="B306:J306"/>
    <mergeCell ref="B307:J307"/>
    <mergeCell ref="B376:J376"/>
    <mergeCell ref="B316:J316"/>
    <mergeCell ref="B317:J317"/>
    <mergeCell ref="B318:J318"/>
    <mergeCell ref="B319:J319"/>
    <mergeCell ref="B320:J320"/>
    <mergeCell ref="B327:J327"/>
    <mergeCell ref="B328:J328"/>
    <mergeCell ref="B358:J358"/>
    <mergeCell ref="B392:J392"/>
    <mergeCell ref="B393:J393"/>
    <mergeCell ref="B395:J395"/>
    <mergeCell ref="B383:J383"/>
    <mergeCell ref="Z183:AK183"/>
    <mergeCell ref="B183:D183"/>
    <mergeCell ref="V81:X81"/>
    <mergeCell ref="Z117:AJ117"/>
    <mergeCell ref="Z118:AJ118"/>
    <mergeCell ref="Z177:AG177"/>
    <mergeCell ref="Z182:AL182"/>
    <mergeCell ref="W240:W243"/>
    <mergeCell ref="X240:X243"/>
    <mergeCell ref="B188:J188"/>
    <mergeCell ref="B189:J189"/>
    <mergeCell ref="B190:J190"/>
    <mergeCell ref="B166:L166"/>
    <mergeCell ref="B112:J112"/>
    <mergeCell ref="B113:J113"/>
    <mergeCell ref="B114:J114"/>
    <mergeCell ref="Z236:AA236"/>
    <mergeCell ref="B428:K428"/>
    <mergeCell ref="F266:J266"/>
    <mergeCell ref="Z266:AD266"/>
    <mergeCell ref="Z268:AA268"/>
    <mergeCell ref="Z269:AB269"/>
    <mergeCell ref="AA326:AB326"/>
    <mergeCell ref="B388:K388"/>
    <mergeCell ref="B308:J308"/>
    <mergeCell ref="B309:J309"/>
    <mergeCell ref="B310:J310"/>
    <mergeCell ref="B311:J311"/>
    <mergeCell ref="B312:J312"/>
    <mergeCell ref="B314:J314"/>
    <mergeCell ref="B386:J386"/>
    <mergeCell ref="B387:J387"/>
    <mergeCell ref="B331:J331"/>
    <mergeCell ref="B332:J332"/>
    <mergeCell ref="B333:J333"/>
    <mergeCell ref="B334:J334"/>
    <mergeCell ref="B335:J335"/>
    <mergeCell ref="B336:J336"/>
    <mergeCell ref="B337:J337"/>
    <mergeCell ref="B338:J338"/>
    <mergeCell ref="B315:J315"/>
    <mergeCell ref="B385:J385"/>
    <mergeCell ref="B384:J384"/>
    <mergeCell ref="B339:J339"/>
    <mergeCell ref="B340:J340"/>
    <mergeCell ref="B341:J341"/>
    <mergeCell ref="B342:J342"/>
    <mergeCell ref="B417:J417"/>
    <mergeCell ref="B410:J411"/>
    <mergeCell ref="B412:J412"/>
    <mergeCell ref="B413:J413"/>
    <mergeCell ref="B414:J414"/>
    <mergeCell ref="B415:J415"/>
    <mergeCell ref="B402:J403"/>
    <mergeCell ref="B396:J397"/>
    <mergeCell ref="B398:J399"/>
    <mergeCell ref="B400:J401"/>
    <mergeCell ref="B404:J405"/>
    <mergeCell ref="B406:J407"/>
    <mergeCell ref="B408:J409"/>
    <mergeCell ref="B348:J348"/>
    <mergeCell ref="B350:J350"/>
    <mergeCell ref="B351:J351"/>
    <mergeCell ref="B352:J352"/>
    <mergeCell ref="B361:J361"/>
  </mergeCells>
  <pageMargins left="0.23622047244094491" right="0" top="0" bottom="0" header="0" footer="0"/>
  <pageSetup paperSize="9" scale="3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12_2018_В14а_В6 (2)</vt:lpstr>
      <vt:lpstr>2019_В14а_В6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ТСЖ-Вилонова 6</dc:creator>
  <cp:lastModifiedBy>Светик</cp:lastModifiedBy>
  <cp:lastPrinted>2019-06-21T09:16:08Z</cp:lastPrinted>
  <dcterms:created xsi:type="dcterms:W3CDTF">2018-03-07T08:08:36Z</dcterms:created>
  <dcterms:modified xsi:type="dcterms:W3CDTF">2019-06-21T09:36:55Z</dcterms:modified>
</cp:coreProperties>
</file>